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abriellemadden/UNI/4/ECE444/Project2/dungeonz/server/"/>
    </mc:Choice>
  </mc:AlternateContent>
  <xr:revisionPtr revIDLastSave="0" documentId="13_ncr:1_{842E13DC-E7B4-8448-A67B-CC4F5C75F411}" xr6:coauthVersionLast="47" xr6:coauthVersionMax="47" xr10:uidLastSave="{00000000-0000-0000-0000-000000000000}"/>
  <bookViews>
    <workbookView xWindow="0" yWindow="500" windowWidth="28800" windowHeight="17500" xr2:uid="{00000000-000D-0000-FFFF-FFFF00000000}"/>
  </bookViews>
  <sheets>
    <sheet name="GUI" sheetId="1" r:id="rId1"/>
    <sheet name="ITEMS" sheetId="2" r:id="rId2"/>
    <sheet name="ENTITIES" sheetId="3" r:id="rId3"/>
    <sheet name="STATS" sheetId="4" r:id="rId4"/>
    <sheet name="TASK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5" l="1"/>
  <c r="K51" i="5"/>
  <c r="J51" i="5"/>
  <c r="I51" i="5"/>
  <c r="H51" i="5"/>
  <c r="G51" i="5"/>
  <c r="F51" i="5"/>
  <c r="E51" i="5"/>
  <c r="D51" i="5"/>
  <c r="C51" i="5"/>
  <c r="L50" i="5"/>
  <c r="K50" i="5"/>
  <c r="J50" i="5"/>
  <c r="I50" i="5"/>
  <c r="H50" i="5"/>
  <c r="G50" i="5"/>
  <c r="F50" i="5"/>
  <c r="E50" i="5"/>
  <c r="D50" i="5"/>
  <c r="C50" i="5"/>
  <c r="L49" i="5"/>
  <c r="K49" i="5"/>
  <c r="J49" i="5"/>
  <c r="I49" i="5"/>
  <c r="H49" i="5"/>
  <c r="G49" i="5"/>
  <c r="F49" i="5"/>
  <c r="E49" i="5"/>
  <c r="D49" i="5"/>
  <c r="C49" i="5"/>
  <c r="L48" i="5"/>
  <c r="K48" i="5"/>
  <c r="J48" i="5"/>
  <c r="I48" i="5"/>
  <c r="H48" i="5"/>
  <c r="G48" i="5"/>
  <c r="F48" i="5"/>
  <c r="E48" i="5"/>
  <c r="D48" i="5"/>
  <c r="C48" i="5"/>
  <c r="L47" i="5"/>
  <c r="K47" i="5"/>
  <c r="J47" i="5"/>
  <c r="I47" i="5"/>
  <c r="H47" i="5"/>
  <c r="G47" i="5"/>
  <c r="F47" i="5"/>
  <c r="E47" i="5"/>
  <c r="D47" i="5"/>
  <c r="C47" i="5"/>
  <c r="L46" i="5"/>
  <c r="K46" i="5"/>
  <c r="J46" i="5"/>
  <c r="I46" i="5"/>
  <c r="H46" i="5"/>
  <c r="G46" i="5"/>
  <c r="F46" i="5"/>
  <c r="E46" i="5"/>
  <c r="D46" i="5"/>
  <c r="C46" i="5"/>
  <c r="L45" i="5"/>
  <c r="K45" i="5"/>
  <c r="J45" i="5"/>
  <c r="I45" i="5"/>
  <c r="H45" i="5"/>
  <c r="G45" i="5"/>
  <c r="F45" i="5"/>
  <c r="E45" i="5"/>
  <c r="D45" i="5"/>
  <c r="C45" i="5"/>
  <c r="L44" i="5"/>
  <c r="K44" i="5"/>
  <c r="J44" i="5"/>
  <c r="I44" i="5"/>
  <c r="H44" i="5"/>
  <c r="G44" i="5"/>
  <c r="F44" i="5"/>
  <c r="E44" i="5"/>
  <c r="D44" i="5"/>
  <c r="C44" i="5"/>
  <c r="L43" i="5"/>
  <c r="K43" i="5"/>
  <c r="J43" i="5"/>
  <c r="I43" i="5"/>
  <c r="H43" i="5"/>
  <c r="G43" i="5"/>
  <c r="F43" i="5"/>
  <c r="E43" i="5"/>
  <c r="D43" i="5"/>
  <c r="C43" i="5"/>
  <c r="L42" i="5"/>
  <c r="K42" i="5"/>
  <c r="J42" i="5"/>
  <c r="I42" i="5"/>
  <c r="H42" i="5"/>
  <c r="G42" i="5"/>
  <c r="F42" i="5"/>
  <c r="E42" i="5"/>
  <c r="D42" i="5"/>
  <c r="C42" i="5"/>
  <c r="L41" i="5"/>
  <c r="K41" i="5"/>
  <c r="J41" i="5"/>
  <c r="I41" i="5"/>
  <c r="H41" i="5"/>
  <c r="G41" i="5"/>
  <c r="F41" i="5"/>
  <c r="E41" i="5"/>
  <c r="D41" i="5"/>
  <c r="C41" i="5"/>
  <c r="L40" i="5"/>
  <c r="K40" i="5"/>
  <c r="J40" i="5"/>
  <c r="I40" i="5"/>
  <c r="H40" i="5"/>
  <c r="G40" i="5"/>
  <c r="F40" i="5"/>
  <c r="E40" i="5"/>
  <c r="D40" i="5"/>
  <c r="C40" i="5"/>
  <c r="L39" i="5"/>
  <c r="K39" i="5"/>
  <c r="J39" i="5"/>
  <c r="I39" i="5"/>
  <c r="H39" i="5"/>
  <c r="G39" i="5"/>
  <c r="F39" i="5"/>
  <c r="E39" i="5"/>
  <c r="D39" i="5"/>
  <c r="C39" i="5"/>
  <c r="L38" i="5"/>
  <c r="K38" i="5"/>
  <c r="J38" i="5"/>
  <c r="I38" i="5"/>
  <c r="H38" i="5"/>
  <c r="G38" i="5"/>
  <c r="F38" i="5"/>
  <c r="E38" i="5"/>
  <c r="D38" i="5"/>
  <c r="C38" i="5"/>
  <c r="L37" i="5"/>
  <c r="K37" i="5"/>
  <c r="J37" i="5"/>
  <c r="I37" i="5"/>
  <c r="H37" i="5"/>
  <c r="G37" i="5"/>
  <c r="F37" i="5"/>
  <c r="E37" i="5"/>
  <c r="D37" i="5"/>
  <c r="C37" i="5"/>
  <c r="L36" i="5"/>
  <c r="K36" i="5"/>
  <c r="J36" i="5"/>
  <c r="I36" i="5"/>
  <c r="H36" i="5"/>
  <c r="G36" i="5"/>
  <c r="F36" i="5"/>
  <c r="E36" i="5"/>
  <c r="D36" i="5"/>
  <c r="C36" i="5"/>
  <c r="L35" i="5"/>
  <c r="K35" i="5"/>
  <c r="J35" i="5"/>
  <c r="I35" i="5"/>
  <c r="H35" i="5"/>
  <c r="G35" i="5"/>
  <c r="F35" i="5"/>
  <c r="E35" i="5"/>
  <c r="D35" i="5"/>
  <c r="C35" i="5"/>
  <c r="L34" i="5"/>
  <c r="K34" i="5"/>
  <c r="J34" i="5"/>
  <c r="I34" i="5"/>
  <c r="H34" i="5"/>
  <c r="G34" i="5"/>
  <c r="F34" i="5"/>
  <c r="E34" i="5"/>
  <c r="D34" i="5"/>
  <c r="C34" i="5"/>
  <c r="L33" i="5"/>
  <c r="K33" i="5"/>
  <c r="J33" i="5"/>
  <c r="I33" i="5"/>
  <c r="H33" i="5"/>
  <c r="G33" i="5"/>
  <c r="F33" i="5"/>
  <c r="E33" i="5"/>
  <c r="D33" i="5"/>
  <c r="C33" i="5"/>
  <c r="L32" i="5"/>
  <c r="K32" i="5"/>
  <c r="J32" i="5"/>
  <c r="I32" i="5"/>
  <c r="H32" i="5"/>
  <c r="G32" i="5"/>
  <c r="F32" i="5"/>
  <c r="E32" i="5"/>
  <c r="D32" i="5"/>
  <c r="C32" i="5"/>
  <c r="L31" i="5"/>
  <c r="K31" i="5"/>
  <c r="J31" i="5"/>
  <c r="I31" i="5"/>
  <c r="H31" i="5"/>
  <c r="G31" i="5"/>
  <c r="F31" i="5"/>
  <c r="E31" i="5"/>
  <c r="D31" i="5"/>
  <c r="C31" i="5"/>
  <c r="L30" i="5"/>
  <c r="K30" i="5"/>
  <c r="J30" i="5"/>
  <c r="I30" i="5"/>
  <c r="H30" i="5"/>
  <c r="G30" i="5"/>
  <c r="F30" i="5"/>
  <c r="E30" i="5"/>
  <c r="D30" i="5"/>
  <c r="C30" i="5"/>
  <c r="L29" i="5"/>
  <c r="K29" i="5"/>
  <c r="J29" i="5"/>
  <c r="I29" i="5"/>
  <c r="H29" i="5"/>
  <c r="G29" i="5"/>
  <c r="F29" i="5"/>
  <c r="E29" i="5"/>
  <c r="D29" i="5"/>
  <c r="C29" i="5"/>
  <c r="L28" i="5"/>
  <c r="K28" i="5"/>
  <c r="J28" i="5"/>
  <c r="I28" i="5"/>
  <c r="H28" i="5"/>
  <c r="G28" i="5"/>
  <c r="F28" i="5"/>
  <c r="E28" i="5"/>
  <c r="D28" i="5"/>
  <c r="C28" i="5"/>
  <c r="L27" i="5"/>
  <c r="K27" i="5"/>
  <c r="J27" i="5"/>
  <c r="I27" i="5"/>
  <c r="H27" i="5"/>
  <c r="G27" i="5"/>
  <c r="F27" i="5"/>
  <c r="E27" i="5"/>
  <c r="D27" i="5"/>
  <c r="C27" i="5"/>
  <c r="L26" i="5"/>
  <c r="K26" i="5"/>
  <c r="J26" i="5"/>
  <c r="I26" i="5"/>
  <c r="H26" i="5"/>
  <c r="G26" i="5"/>
  <c r="F26" i="5"/>
  <c r="E26" i="5"/>
  <c r="D26" i="5"/>
  <c r="C26" i="5"/>
  <c r="L25" i="5"/>
  <c r="K25" i="5"/>
  <c r="J25" i="5"/>
  <c r="I25" i="5"/>
  <c r="H25" i="5"/>
  <c r="G25" i="5"/>
  <c r="F25" i="5"/>
  <c r="E25" i="5"/>
  <c r="D25" i="5"/>
  <c r="C25" i="5"/>
  <c r="L24" i="5"/>
  <c r="K24" i="5"/>
  <c r="J24" i="5"/>
  <c r="I24" i="5"/>
  <c r="H24" i="5"/>
  <c r="G24" i="5"/>
  <c r="F24" i="5"/>
  <c r="E24" i="5"/>
  <c r="D24" i="5"/>
  <c r="C24" i="5"/>
  <c r="L23" i="5"/>
  <c r="K23" i="5"/>
  <c r="J23" i="5"/>
  <c r="I23" i="5"/>
  <c r="H23" i="5"/>
  <c r="G23" i="5"/>
  <c r="F23" i="5"/>
  <c r="E23" i="5"/>
  <c r="D23" i="5"/>
  <c r="C23" i="5"/>
  <c r="L22" i="5"/>
  <c r="K22" i="5"/>
  <c r="J22" i="5"/>
  <c r="I22" i="5"/>
  <c r="H22" i="5"/>
  <c r="G22" i="5"/>
  <c r="F22" i="5"/>
  <c r="E22" i="5"/>
  <c r="D22" i="5"/>
  <c r="C22" i="5"/>
  <c r="L21" i="5"/>
  <c r="K21" i="5"/>
  <c r="J21" i="5"/>
  <c r="I21" i="5"/>
  <c r="H21" i="5"/>
  <c r="G21" i="5"/>
  <c r="F21" i="5"/>
  <c r="E21" i="5"/>
  <c r="D21" i="5"/>
  <c r="C21" i="5"/>
  <c r="L20" i="5"/>
  <c r="K20" i="5"/>
  <c r="J20" i="5"/>
  <c r="I20" i="5"/>
  <c r="H20" i="5"/>
  <c r="G20" i="5"/>
  <c r="F20" i="5"/>
  <c r="E20" i="5"/>
  <c r="D20" i="5"/>
  <c r="C20" i="5"/>
  <c r="L19" i="5"/>
  <c r="K19" i="5"/>
  <c r="J19" i="5"/>
  <c r="I19" i="5"/>
  <c r="H19" i="5"/>
  <c r="G19" i="5"/>
  <c r="F19" i="5"/>
  <c r="E19" i="5"/>
  <c r="D19" i="5"/>
  <c r="C19" i="5"/>
  <c r="L18" i="5"/>
  <c r="K18" i="5"/>
  <c r="J18" i="5"/>
  <c r="I18" i="5"/>
  <c r="H18" i="5"/>
  <c r="G18" i="5"/>
  <c r="F18" i="5"/>
  <c r="E18" i="5"/>
  <c r="D18" i="5"/>
  <c r="C18" i="5"/>
  <c r="L17" i="5"/>
  <c r="K17" i="5"/>
  <c r="J17" i="5"/>
  <c r="I17" i="5"/>
  <c r="H17" i="5"/>
  <c r="G17" i="5"/>
  <c r="F17" i="5"/>
  <c r="E17" i="5"/>
  <c r="D17" i="5"/>
  <c r="C17" i="5"/>
  <c r="L16" i="5"/>
  <c r="K16" i="5"/>
  <c r="J16" i="5"/>
  <c r="I16" i="5"/>
  <c r="H16" i="5"/>
  <c r="G16" i="5"/>
  <c r="F16" i="5"/>
  <c r="E16" i="5"/>
  <c r="D16" i="5"/>
  <c r="C16" i="5"/>
  <c r="L15" i="5"/>
  <c r="K15" i="5"/>
  <c r="J15" i="5"/>
  <c r="I15" i="5"/>
  <c r="H15" i="5"/>
  <c r="G15" i="5"/>
  <c r="F15" i="5"/>
  <c r="E15" i="5"/>
  <c r="D15" i="5"/>
  <c r="C15" i="5"/>
  <c r="L14" i="5"/>
  <c r="K14" i="5"/>
  <c r="J14" i="5"/>
  <c r="I14" i="5"/>
  <c r="H14" i="5"/>
  <c r="G14" i="5"/>
  <c r="F14" i="5"/>
  <c r="E14" i="5"/>
  <c r="D14" i="5"/>
  <c r="C14" i="5"/>
  <c r="L13" i="5"/>
  <c r="K13" i="5"/>
  <c r="J13" i="5"/>
  <c r="I13" i="5"/>
  <c r="H13" i="5"/>
  <c r="G13" i="5"/>
  <c r="F13" i="5"/>
  <c r="E13" i="5"/>
  <c r="D13" i="5"/>
  <c r="C13" i="5"/>
  <c r="L12" i="5"/>
  <c r="K12" i="5"/>
  <c r="J12" i="5"/>
  <c r="I12" i="5"/>
  <c r="H12" i="5"/>
  <c r="G12" i="5"/>
  <c r="F12" i="5"/>
  <c r="E12" i="5"/>
  <c r="D12" i="5"/>
  <c r="C12" i="5"/>
  <c r="L11" i="5"/>
  <c r="K11" i="5"/>
  <c r="J11" i="5"/>
  <c r="I11" i="5"/>
  <c r="H11" i="5"/>
  <c r="G11" i="5"/>
  <c r="F11" i="5"/>
  <c r="E11" i="5"/>
  <c r="D11" i="5"/>
  <c r="C11" i="5"/>
  <c r="L10" i="5"/>
  <c r="K10" i="5"/>
  <c r="J10" i="5"/>
  <c r="I10" i="5"/>
  <c r="H10" i="5"/>
  <c r="G10" i="5"/>
  <c r="F10" i="5"/>
  <c r="E10" i="5"/>
  <c r="D10" i="5"/>
  <c r="C10" i="5"/>
  <c r="L9" i="5"/>
  <c r="K9" i="5"/>
  <c r="J9" i="5"/>
  <c r="I9" i="5"/>
  <c r="H9" i="5"/>
  <c r="G9" i="5"/>
  <c r="F9" i="5"/>
  <c r="E9" i="5"/>
  <c r="D9" i="5"/>
  <c r="C9" i="5"/>
  <c r="L26" i="4"/>
  <c r="K26" i="4"/>
  <c r="J26" i="4"/>
  <c r="I26" i="4"/>
  <c r="H26" i="4"/>
  <c r="G26" i="4"/>
  <c r="F26" i="4"/>
  <c r="E26" i="4"/>
  <c r="D26" i="4"/>
  <c r="C26" i="4"/>
  <c r="L25" i="4"/>
  <c r="K25" i="4"/>
  <c r="J25" i="4"/>
  <c r="I25" i="4"/>
  <c r="H25" i="4"/>
  <c r="G25" i="4"/>
  <c r="F25" i="4"/>
  <c r="E25" i="4"/>
  <c r="D25" i="4"/>
  <c r="C25" i="4"/>
  <c r="L24" i="4"/>
  <c r="K24" i="4"/>
  <c r="J24" i="4"/>
  <c r="I24" i="4"/>
  <c r="H24" i="4"/>
  <c r="G24" i="4"/>
  <c r="F24" i="4"/>
  <c r="E24" i="4"/>
  <c r="D24" i="4"/>
  <c r="C24" i="4"/>
  <c r="L23" i="4"/>
  <c r="K23" i="4"/>
  <c r="J23" i="4"/>
  <c r="I23" i="4"/>
  <c r="H23" i="4"/>
  <c r="G23" i="4"/>
  <c r="F23" i="4"/>
  <c r="E23" i="4"/>
  <c r="D23" i="4"/>
  <c r="C23" i="4"/>
  <c r="L22" i="4"/>
  <c r="K22" i="4"/>
  <c r="J22" i="4"/>
  <c r="I22" i="4"/>
  <c r="H22" i="4"/>
  <c r="G22" i="4"/>
  <c r="F22" i="4"/>
  <c r="E22" i="4"/>
  <c r="D22" i="4"/>
  <c r="C22" i="4"/>
  <c r="L21" i="4"/>
  <c r="K21" i="4"/>
  <c r="J21" i="4"/>
  <c r="I21" i="4"/>
  <c r="H21" i="4"/>
  <c r="G21" i="4"/>
  <c r="F21" i="4"/>
  <c r="E21" i="4"/>
  <c r="D21" i="4"/>
  <c r="C21" i="4"/>
  <c r="L20" i="4"/>
  <c r="K20" i="4"/>
  <c r="J20" i="4"/>
  <c r="I20" i="4"/>
  <c r="H20" i="4"/>
  <c r="G20" i="4"/>
  <c r="F20" i="4"/>
  <c r="E20" i="4"/>
  <c r="D20" i="4"/>
  <c r="C20" i="4"/>
  <c r="L19" i="4"/>
  <c r="K19" i="4"/>
  <c r="J19" i="4"/>
  <c r="I19" i="4"/>
  <c r="H19" i="4"/>
  <c r="G19" i="4"/>
  <c r="F19" i="4"/>
  <c r="E19" i="4"/>
  <c r="D19" i="4"/>
  <c r="C19" i="4"/>
  <c r="L18" i="4"/>
  <c r="K18" i="4"/>
  <c r="J18" i="4"/>
  <c r="I18" i="4"/>
  <c r="H18" i="4"/>
  <c r="G18" i="4"/>
  <c r="F18" i="4"/>
  <c r="E18" i="4"/>
  <c r="D18" i="4"/>
  <c r="C18" i="4"/>
  <c r="L17" i="4"/>
  <c r="K17" i="4"/>
  <c r="J17" i="4"/>
  <c r="I17" i="4"/>
  <c r="H17" i="4"/>
  <c r="G17" i="4"/>
  <c r="F17" i="4"/>
  <c r="E17" i="4"/>
  <c r="D17" i="4"/>
  <c r="C17" i="4"/>
  <c r="L16" i="4"/>
  <c r="K16" i="4"/>
  <c r="J16" i="4"/>
  <c r="I16" i="4"/>
  <c r="H16" i="4"/>
  <c r="G16" i="4"/>
  <c r="F16" i="4"/>
  <c r="E16" i="4"/>
  <c r="D16" i="4"/>
  <c r="C16" i="4"/>
  <c r="L15" i="4"/>
  <c r="K15" i="4"/>
  <c r="J15" i="4"/>
  <c r="I15" i="4"/>
  <c r="H15" i="4"/>
  <c r="G15" i="4"/>
  <c r="F15" i="4"/>
  <c r="E15" i="4"/>
  <c r="D15" i="4"/>
  <c r="C15" i="4"/>
  <c r="L14" i="4"/>
  <c r="K14" i="4"/>
  <c r="J14" i="4"/>
  <c r="I14" i="4"/>
  <c r="H14" i="4"/>
  <c r="G14" i="4"/>
  <c r="F14" i="4"/>
  <c r="E14" i="4"/>
  <c r="D14" i="4"/>
  <c r="C14" i="4"/>
  <c r="L13" i="4"/>
  <c r="K13" i="4"/>
  <c r="J13" i="4"/>
  <c r="I13" i="4"/>
  <c r="H13" i="4"/>
  <c r="G13" i="4"/>
  <c r="F13" i="4"/>
  <c r="E13" i="4"/>
  <c r="D13" i="4"/>
  <c r="C13" i="4"/>
  <c r="L12" i="4"/>
  <c r="K12" i="4"/>
  <c r="J12" i="4"/>
  <c r="I12" i="4"/>
  <c r="H12" i="4"/>
  <c r="G12" i="4"/>
  <c r="F12" i="4"/>
  <c r="E12" i="4"/>
  <c r="D12" i="4"/>
  <c r="C12" i="4"/>
  <c r="L11" i="4"/>
  <c r="K11" i="4"/>
  <c r="J11" i="4"/>
  <c r="I11" i="4"/>
  <c r="H11" i="4"/>
  <c r="G11" i="4"/>
  <c r="F11" i="4"/>
  <c r="E11" i="4"/>
  <c r="D11" i="4"/>
  <c r="C11" i="4"/>
  <c r="L10" i="4"/>
  <c r="K10" i="4"/>
  <c r="J10" i="4"/>
  <c r="I10" i="4"/>
  <c r="H10" i="4"/>
  <c r="G10" i="4"/>
  <c r="F10" i="4"/>
  <c r="E10" i="4"/>
  <c r="D10" i="4"/>
  <c r="C10" i="4"/>
  <c r="L9" i="4"/>
  <c r="K9" i="4"/>
  <c r="J9" i="4"/>
  <c r="I9" i="4"/>
  <c r="H9" i="4"/>
  <c r="G9" i="4"/>
  <c r="F9" i="4"/>
  <c r="E9" i="4"/>
  <c r="D9" i="4"/>
  <c r="C9" i="4"/>
  <c r="L60" i="3"/>
  <c r="K60" i="3"/>
  <c r="J60" i="3"/>
  <c r="I60" i="3"/>
  <c r="H60" i="3"/>
  <c r="G60" i="3"/>
  <c r="F60" i="3"/>
  <c r="E60" i="3"/>
  <c r="D60" i="3"/>
  <c r="C60" i="3"/>
  <c r="L59" i="3"/>
  <c r="K59" i="3"/>
  <c r="J59" i="3"/>
  <c r="I59" i="3"/>
  <c r="H59" i="3"/>
  <c r="G59" i="3"/>
  <c r="F59" i="3"/>
  <c r="E59" i="3"/>
  <c r="D59" i="3"/>
  <c r="C59" i="3"/>
  <c r="L58" i="3"/>
  <c r="K58" i="3"/>
  <c r="J58" i="3"/>
  <c r="I58" i="3"/>
  <c r="H58" i="3"/>
  <c r="G58" i="3"/>
  <c r="F58" i="3"/>
  <c r="E58" i="3"/>
  <c r="D58" i="3"/>
  <c r="C58" i="3"/>
  <c r="L57" i="3"/>
  <c r="K57" i="3"/>
  <c r="J57" i="3"/>
  <c r="I57" i="3"/>
  <c r="H57" i="3"/>
  <c r="G57" i="3"/>
  <c r="F57" i="3"/>
  <c r="E57" i="3"/>
  <c r="D57" i="3"/>
  <c r="C57" i="3"/>
  <c r="L56" i="3"/>
  <c r="K56" i="3"/>
  <c r="J56" i="3"/>
  <c r="I56" i="3"/>
  <c r="H56" i="3"/>
  <c r="G56" i="3"/>
  <c r="F56" i="3"/>
  <c r="E56" i="3"/>
  <c r="D56" i="3"/>
  <c r="C56" i="3"/>
  <c r="L55" i="3"/>
  <c r="K55" i="3"/>
  <c r="J55" i="3"/>
  <c r="I55" i="3"/>
  <c r="H55" i="3"/>
  <c r="G55" i="3"/>
  <c r="F55" i="3"/>
  <c r="E55" i="3"/>
  <c r="D55" i="3"/>
  <c r="C55" i="3"/>
  <c r="L54" i="3"/>
  <c r="K54" i="3"/>
  <c r="J54" i="3"/>
  <c r="I54" i="3"/>
  <c r="H54" i="3"/>
  <c r="G54" i="3"/>
  <c r="F54" i="3"/>
  <c r="D54" i="3"/>
  <c r="C54" i="3"/>
  <c r="L53" i="3"/>
  <c r="K53" i="3"/>
  <c r="J53" i="3"/>
  <c r="I53" i="3"/>
  <c r="H53" i="3"/>
  <c r="G53" i="3"/>
  <c r="F53" i="3"/>
  <c r="E53" i="3"/>
  <c r="D53" i="3"/>
  <c r="C53" i="3"/>
  <c r="L52" i="3"/>
  <c r="K52" i="3"/>
  <c r="J52" i="3"/>
  <c r="I52" i="3"/>
  <c r="H52" i="3"/>
  <c r="G52" i="3"/>
  <c r="F52" i="3"/>
  <c r="E52" i="3"/>
  <c r="D52" i="3"/>
  <c r="C52" i="3"/>
  <c r="L51" i="3"/>
  <c r="K51" i="3"/>
  <c r="J51" i="3"/>
  <c r="I51" i="3"/>
  <c r="H51" i="3"/>
  <c r="G51" i="3"/>
  <c r="F51" i="3"/>
  <c r="E51" i="3"/>
  <c r="D51" i="3"/>
  <c r="C51" i="3"/>
  <c r="L50" i="3"/>
  <c r="K50" i="3"/>
  <c r="J50" i="3"/>
  <c r="I50" i="3"/>
  <c r="H50" i="3"/>
  <c r="G50" i="3"/>
  <c r="F50" i="3"/>
  <c r="E50" i="3"/>
  <c r="D50" i="3"/>
  <c r="C50" i="3"/>
  <c r="L49" i="3"/>
  <c r="K49" i="3"/>
  <c r="J49" i="3"/>
  <c r="I49" i="3"/>
  <c r="H49" i="3"/>
  <c r="G49" i="3"/>
  <c r="F49" i="3"/>
  <c r="D49" i="3"/>
  <c r="C49" i="3"/>
  <c r="L48" i="3"/>
  <c r="K48" i="3"/>
  <c r="J48" i="3"/>
  <c r="I48" i="3"/>
  <c r="H48" i="3"/>
  <c r="G48" i="3"/>
  <c r="F48" i="3"/>
  <c r="D48" i="3"/>
  <c r="C48" i="3"/>
  <c r="L47" i="3"/>
  <c r="K47" i="3"/>
  <c r="J47" i="3"/>
  <c r="I47" i="3"/>
  <c r="H47" i="3"/>
  <c r="G47" i="3"/>
  <c r="F47" i="3"/>
  <c r="E47" i="3"/>
  <c r="D47" i="3"/>
  <c r="C47" i="3"/>
  <c r="L46" i="3"/>
  <c r="K46" i="3"/>
  <c r="J46" i="3"/>
  <c r="I46" i="3"/>
  <c r="H46" i="3"/>
  <c r="G46" i="3"/>
  <c r="F46" i="3"/>
  <c r="D46" i="3"/>
  <c r="C46" i="3"/>
  <c r="L45" i="3"/>
  <c r="K45" i="3"/>
  <c r="J45" i="3"/>
  <c r="I45" i="3"/>
  <c r="H45" i="3"/>
  <c r="G45" i="3"/>
  <c r="F45" i="3"/>
  <c r="E45" i="3"/>
  <c r="D45" i="3"/>
  <c r="C45" i="3"/>
  <c r="L44" i="3"/>
  <c r="K44" i="3"/>
  <c r="J44" i="3"/>
  <c r="I44" i="3"/>
  <c r="H44" i="3"/>
  <c r="G44" i="3"/>
  <c r="F44" i="3"/>
  <c r="E44" i="3"/>
  <c r="D44" i="3"/>
  <c r="C44" i="3"/>
  <c r="L43" i="3"/>
  <c r="K43" i="3"/>
  <c r="J43" i="3"/>
  <c r="I43" i="3"/>
  <c r="H43" i="3"/>
  <c r="G43" i="3"/>
  <c r="F43" i="3"/>
  <c r="E43" i="3"/>
  <c r="D43" i="3"/>
  <c r="C43" i="3"/>
  <c r="L42" i="3"/>
  <c r="K42" i="3"/>
  <c r="J42" i="3"/>
  <c r="I42" i="3"/>
  <c r="H42" i="3"/>
  <c r="G42" i="3"/>
  <c r="F42" i="3"/>
  <c r="E42" i="3"/>
  <c r="D42" i="3"/>
  <c r="C42" i="3"/>
  <c r="L41" i="3"/>
  <c r="K41" i="3"/>
  <c r="J41" i="3"/>
  <c r="I41" i="3"/>
  <c r="H41" i="3"/>
  <c r="G41" i="3"/>
  <c r="F41" i="3"/>
  <c r="E41" i="3"/>
  <c r="D41" i="3"/>
  <c r="C41" i="3"/>
  <c r="L40" i="3"/>
  <c r="K40" i="3"/>
  <c r="J40" i="3"/>
  <c r="I40" i="3"/>
  <c r="H40" i="3"/>
  <c r="G40" i="3"/>
  <c r="F40" i="3"/>
  <c r="E40" i="3"/>
  <c r="D40" i="3"/>
  <c r="C40" i="3"/>
  <c r="L39" i="3"/>
  <c r="K39" i="3"/>
  <c r="J39" i="3"/>
  <c r="I39" i="3"/>
  <c r="H39" i="3"/>
  <c r="G39" i="3"/>
  <c r="F39" i="3"/>
  <c r="E39" i="3"/>
  <c r="D39" i="3"/>
  <c r="C39" i="3"/>
  <c r="L38" i="3"/>
  <c r="K38" i="3"/>
  <c r="J38" i="3"/>
  <c r="I38" i="3"/>
  <c r="H38" i="3"/>
  <c r="G38" i="3"/>
  <c r="F38" i="3"/>
  <c r="E38" i="3"/>
  <c r="D38" i="3"/>
  <c r="C38" i="3"/>
  <c r="L37" i="3"/>
  <c r="K37" i="3"/>
  <c r="J37" i="3"/>
  <c r="I37" i="3"/>
  <c r="H37" i="3"/>
  <c r="G37" i="3"/>
  <c r="F37" i="3"/>
  <c r="E37" i="3"/>
  <c r="D37" i="3"/>
  <c r="C37" i="3"/>
  <c r="L36" i="3"/>
  <c r="K36" i="3"/>
  <c r="J36" i="3"/>
  <c r="I36" i="3"/>
  <c r="H36" i="3"/>
  <c r="G36" i="3"/>
  <c r="F36" i="3"/>
  <c r="E36" i="3"/>
  <c r="D36" i="3"/>
  <c r="C36" i="3"/>
  <c r="L35" i="3"/>
  <c r="K35" i="3"/>
  <c r="J35" i="3"/>
  <c r="I35" i="3"/>
  <c r="H35" i="3"/>
  <c r="G35" i="3"/>
  <c r="F35" i="3"/>
  <c r="E35" i="3"/>
  <c r="D35" i="3"/>
  <c r="C35" i="3"/>
  <c r="L34" i="3"/>
  <c r="K34" i="3"/>
  <c r="J34" i="3"/>
  <c r="I34" i="3"/>
  <c r="H34" i="3"/>
  <c r="G34" i="3"/>
  <c r="F34" i="3"/>
  <c r="E34" i="3"/>
  <c r="D34" i="3"/>
  <c r="C34" i="3"/>
  <c r="L33" i="3"/>
  <c r="K33" i="3"/>
  <c r="J33" i="3"/>
  <c r="I33" i="3"/>
  <c r="H33" i="3"/>
  <c r="G33" i="3"/>
  <c r="F33" i="3"/>
  <c r="E33" i="3"/>
  <c r="D33" i="3"/>
  <c r="C33" i="3"/>
  <c r="L32" i="3"/>
  <c r="K32" i="3"/>
  <c r="J32" i="3"/>
  <c r="I32" i="3"/>
  <c r="H32" i="3"/>
  <c r="G32" i="3"/>
  <c r="F32" i="3"/>
  <c r="E32" i="3"/>
  <c r="D32" i="3"/>
  <c r="C32" i="3"/>
  <c r="L31" i="3"/>
  <c r="K31" i="3"/>
  <c r="J31" i="3"/>
  <c r="I31" i="3"/>
  <c r="H31" i="3"/>
  <c r="G31" i="3"/>
  <c r="F31" i="3"/>
  <c r="E31" i="3"/>
  <c r="D31" i="3"/>
  <c r="C31" i="3"/>
  <c r="L30" i="3"/>
  <c r="K30" i="3"/>
  <c r="J30" i="3"/>
  <c r="I30" i="3"/>
  <c r="H30" i="3"/>
  <c r="G30" i="3"/>
  <c r="F30" i="3"/>
  <c r="E30" i="3"/>
  <c r="D30" i="3"/>
  <c r="C30" i="3"/>
  <c r="L29" i="3"/>
  <c r="K29" i="3"/>
  <c r="J29" i="3"/>
  <c r="I29" i="3"/>
  <c r="H29" i="3"/>
  <c r="G29" i="3"/>
  <c r="F29" i="3"/>
  <c r="E29" i="3"/>
  <c r="D29" i="3"/>
  <c r="C29" i="3"/>
  <c r="L28" i="3"/>
  <c r="K28" i="3"/>
  <c r="J28" i="3"/>
  <c r="I28" i="3"/>
  <c r="H28" i="3"/>
  <c r="G28" i="3"/>
  <c r="F28" i="3"/>
  <c r="E28" i="3"/>
  <c r="D28" i="3"/>
  <c r="C28" i="3"/>
  <c r="L27" i="3"/>
  <c r="K27" i="3"/>
  <c r="J27" i="3"/>
  <c r="I27" i="3"/>
  <c r="H27" i="3"/>
  <c r="G27" i="3"/>
  <c r="F27" i="3"/>
  <c r="E27" i="3"/>
  <c r="D27" i="3"/>
  <c r="C27" i="3"/>
  <c r="L26" i="3"/>
  <c r="K26" i="3"/>
  <c r="J26" i="3"/>
  <c r="I26" i="3"/>
  <c r="H26" i="3"/>
  <c r="G26" i="3"/>
  <c r="F26" i="3"/>
  <c r="E26" i="3"/>
  <c r="D26" i="3"/>
  <c r="C26" i="3"/>
  <c r="L25" i="3"/>
  <c r="K25" i="3"/>
  <c r="J25" i="3"/>
  <c r="I25" i="3"/>
  <c r="H25" i="3"/>
  <c r="G25" i="3"/>
  <c r="F25" i="3"/>
  <c r="E25" i="3"/>
  <c r="D25" i="3"/>
  <c r="C25" i="3"/>
  <c r="L24" i="3"/>
  <c r="K24" i="3"/>
  <c r="J24" i="3"/>
  <c r="I24" i="3"/>
  <c r="H24" i="3"/>
  <c r="G24" i="3"/>
  <c r="F24" i="3"/>
  <c r="E24" i="3"/>
  <c r="D24" i="3"/>
  <c r="C24" i="3"/>
  <c r="L23" i="3"/>
  <c r="K23" i="3"/>
  <c r="J23" i="3"/>
  <c r="I23" i="3"/>
  <c r="H23" i="3"/>
  <c r="G23" i="3"/>
  <c r="F23" i="3"/>
  <c r="E23" i="3"/>
  <c r="D23" i="3"/>
  <c r="C23" i="3"/>
  <c r="L22" i="3"/>
  <c r="K22" i="3"/>
  <c r="J22" i="3"/>
  <c r="I22" i="3"/>
  <c r="H22" i="3"/>
  <c r="G22" i="3"/>
  <c r="F22" i="3"/>
  <c r="E22" i="3"/>
  <c r="D22" i="3"/>
  <c r="C22" i="3"/>
  <c r="L21" i="3"/>
  <c r="K21" i="3"/>
  <c r="J21" i="3"/>
  <c r="I21" i="3"/>
  <c r="H21" i="3"/>
  <c r="G21" i="3"/>
  <c r="F21" i="3"/>
  <c r="E21" i="3"/>
  <c r="D21" i="3"/>
  <c r="C21" i="3"/>
  <c r="L20" i="3"/>
  <c r="K20" i="3"/>
  <c r="J20" i="3"/>
  <c r="I20" i="3"/>
  <c r="H20" i="3"/>
  <c r="G20" i="3"/>
  <c r="F20" i="3"/>
  <c r="E20" i="3"/>
  <c r="D20" i="3"/>
  <c r="C20" i="3"/>
  <c r="L19" i="3"/>
  <c r="K19" i="3"/>
  <c r="J19" i="3"/>
  <c r="I19" i="3"/>
  <c r="H19" i="3"/>
  <c r="G19" i="3"/>
  <c r="F19" i="3"/>
  <c r="E19" i="3"/>
  <c r="D19" i="3"/>
  <c r="C19" i="3"/>
  <c r="L18" i="3"/>
  <c r="K18" i="3"/>
  <c r="J18" i="3"/>
  <c r="I18" i="3"/>
  <c r="H18" i="3"/>
  <c r="G18" i="3"/>
  <c r="F18" i="3"/>
  <c r="E18" i="3"/>
  <c r="D18" i="3"/>
  <c r="C18" i="3"/>
  <c r="L17" i="3"/>
  <c r="K17" i="3"/>
  <c r="J17" i="3"/>
  <c r="I17" i="3"/>
  <c r="H17" i="3"/>
  <c r="G17" i="3"/>
  <c r="F17" i="3"/>
  <c r="D17" i="3"/>
  <c r="C17" i="3"/>
  <c r="L16" i="3"/>
  <c r="K16" i="3"/>
  <c r="J16" i="3"/>
  <c r="I16" i="3"/>
  <c r="H16" i="3"/>
  <c r="G16" i="3"/>
  <c r="F16" i="3"/>
  <c r="D16" i="3"/>
  <c r="C16" i="3"/>
  <c r="L15" i="3"/>
  <c r="K15" i="3"/>
  <c r="J15" i="3"/>
  <c r="I15" i="3"/>
  <c r="H15" i="3"/>
  <c r="G15" i="3"/>
  <c r="F15" i="3"/>
  <c r="E15" i="3"/>
  <c r="D15" i="3"/>
  <c r="C15" i="3"/>
  <c r="L14" i="3"/>
  <c r="K14" i="3"/>
  <c r="J14" i="3"/>
  <c r="I14" i="3"/>
  <c r="H14" i="3"/>
  <c r="G14" i="3"/>
  <c r="F14" i="3"/>
  <c r="E14" i="3"/>
  <c r="D14" i="3"/>
  <c r="C14" i="3"/>
  <c r="L13" i="3"/>
  <c r="K13" i="3"/>
  <c r="J13" i="3"/>
  <c r="I13" i="3"/>
  <c r="H13" i="3"/>
  <c r="G13" i="3"/>
  <c r="F13" i="3"/>
  <c r="D13" i="3"/>
  <c r="C13" i="3"/>
  <c r="L12" i="3"/>
  <c r="K12" i="3"/>
  <c r="J12" i="3"/>
  <c r="I12" i="3"/>
  <c r="H12" i="3"/>
  <c r="G12" i="3"/>
  <c r="F12" i="3"/>
  <c r="D12" i="3"/>
  <c r="C12" i="3"/>
  <c r="L11" i="3"/>
  <c r="K11" i="3"/>
  <c r="J11" i="3"/>
  <c r="I11" i="3"/>
  <c r="H11" i="3"/>
  <c r="G11" i="3"/>
  <c r="F11" i="3"/>
  <c r="D11" i="3"/>
  <c r="C11" i="3"/>
  <c r="L10" i="3"/>
  <c r="K10" i="3"/>
  <c r="J10" i="3"/>
  <c r="I10" i="3"/>
  <c r="H10" i="3"/>
  <c r="G10" i="3"/>
  <c r="F10" i="3"/>
  <c r="D10" i="3"/>
  <c r="C10" i="3"/>
  <c r="L9" i="3"/>
  <c r="K9" i="3"/>
  <c r="J9" i="3"/>
  <c r="I9" i="3"/>
  <c r="H9" i="3"/>
  <c r="G9" i="3"/>
  <c r="F9" i="3"/>
  <c r="D9" i="3"/>
  <c r="C9" i="3"/>
  <c r="L276" i="2"/>
  <c r="K276" i="2"/>
  <c r="J276" i="2"/>
  <c r="I276" i="2"/>
  <c r="H276" i="2"/>
  <c r="G276" i="2"/>
  <c r="F276" i="2"/>
  <c r="E276" i="2"/>
  <c r="D276" i="2"/>
  <c r="C276" i="2"/>
  <c r="L275" i="2"/>
  <c r="K275" i="2"/>
  <c r="J275" i="2"/>
  <c r="I275" i="2"/>
  <c r="H275" i="2"/>
  <c r="G275" i="2"/>
  <c r="F275" i="2"/>
  <c r="E275" i="2"/>
  <c r="D275" i="2"/>
  <c r="C275" i="2"/>
  <c r="L274" i="2"/>
  <c r="K274" i="2"/>
  <c r="J274" i="2"/>
  <c r="I274" i="2"/>
  <c r="H274" i="2"/>
  <c r="G274" i="2"/>
  <c r="F274" i="2"/>
  <c r="E274" i="2"/>
  <c r="D274" i="2"/>
  <c r="C274" i="2"/>
  <c r="L273" i="2"/>
  <c r="K273" i="2"/>
  <c r="J273" i="2"/>
  <c r="I273" i="2"/>
  <c r="H273" i="2"/>
  <c r="G273" i="2"/>
  <c r="F273" i="2"/>
  <c r="E273" i="2"/>
  <c r="D273" i="2"/>
  <c r="C273" i="2"/>
  <c r="L272" i="2"/>
  <c r="K272" i="2"/>
  <c r="J272" i="2"/>
  <c r="I272" i="2"/>
  <c r="H272" i="2"/>
  <c r="G272" i="2"/>
  <c r="F272" i="2"/>
  <c r="E272" i="2"/>
  <c r="D272" i="2"/>
  <c r="C272" i="2"/>
  <c r="L271" i="2"/>
  <c r="K271" i="2"/>
  <c r="J271" i="2"/>
  <c r="I271" i="2"/>
  <c r="H271" i="2"/>
  <c r="G271" i="2"/>
  <c r="F271" i="2"/>
  <c r="E271" i="2"/>
  <c r="D271" i="2"/>
  <c r="C271" i="2"/>
  <c r="L270" i="2"/>
  <c r="K270" i="2"/>
  <c r="J270" i="2"/>
  <c r="I270" i="2"/>
  <c r="H270" i="2"/>
  <c r="G270" i="2"/>
  <c r="F270" i="2"/>
  <c r="E270" i="2"/>
  <c r="D270" i="2"/>
  <c r="C270" i="2"/>
  <c r="L269" i="2"/>
  <c r="K269" i="2"/>
  <c r="J269" i="2"/>
  <c r="I269" i="2"/>
  <c r="H269" i="2"/>
  <c r="G269" i="2"/>
  <c r="F269" i="2"/>
  <c r="E269" i="2"/>
  <c r="D269" i="2"/>
  <c r="C269" i="2"/>
  <c r="L268" i="2"/>
  <c r="K268" i="2"/>
  <c r="J268" i="2"/>
  <c r="I268" i="2"/>
  <c r="H268" i="2"/>
  <c r="G268" i="2"/>
  <c r="F268" i="2"/>
  <c r="E268" i="2"/>
  <c r="D268" i="2"/>
  <c r="C268" i="2"/>
  <c r="L267" i="2"/>
  <c r="K267" i="2"/>
  <c r="J267" i="2"/>
  <c r="I267" i="2"/>
  <c r="H267" i="2"/>
  <c r="G267" i="2"/>
  <c r="F267" i="2"/>
  <c r="E267" i="2"/>
  <c r="D267" i="2"/>
  <c r="C267" i="2"/>
  <c r="L266" i="2"/>
  <c r="K266" i="2"/>
  <c r="J266" i="2"/>
  <c r="I266" i="2"/>
  <c r="H266" i="2"/>
  <c r="G266" i="2"/>
  <c r="F266" i="2"/>
  <c r="E266" i="2"/>
  <c r="D266" i="2"/>
  <c r="C266" i="2"/>
  <c r="L265" i="2"/>
  <c r="K265" i="2"/>
  <c r="J265" i="2"/>
  <c r="I265" i="2"/>
  <c r="H265" i="2"/>
  <c r="G265" i="2"/>
  <c r="F265" i="2"/>
  <c r="E265" i="2"/>
  <c r="D265" i="2"/>
  <c r="C265" i="2"/>
  <c r="L264" i="2"/>
  <c r="K264" i="2"/>
  <c r="J264" i="2"/>
  <c r="I264" i="2"/>
  <c r="H264" i="2"/>
  <c r="G264" i="2"/>
  <c r="F264" i="2"/>
  <c r="E264" i="2"/>
  <c r="D264" i="2"/>
  <c r="C264" i="2"/>
  <c r="L263" i="2"/>
  <c r="K263" i="2"/>
  <c r="J263" i="2"/>
  <c r="I263" i="2"/>
  <c r="H263" i="2"/>
  <c r="G263" i="2"/>
  <c r="F263" i="2"/>
  <c r="E263" i="2"/>
  <c r="D263" i="2"/>
  <c r="C263" i="2"/>
  <c r="L262" i="2"/>
  <c r="K262" i="2"/>
  <c r="J262" i="2"/>
  <c r="I262" i="2"/>
  <c r="H262" i="2"/>
  <c r="G262" i="2"/>
  <c r="F262" i="2"/>
  <c r="E262" i="2"/>
  <c r="D262" i="2"/>
  <c r="C262" i="2"/>
  <c r="L261" i="2"/>
  <c r="K261" i="2"/>
  <c r="J261" i="2"/>
  <c r="I261" i="2"/>
  <c r="H261" i="2"/>
  <c r="G261" i="2"/>
  <c r="F261" i="2"/>
  <c r="E261" i="2"/>
  <c r="D261" i="2"/>
  <c r="C261" i="2"/>
  <c r="L260" i="2"/>
  <c r="K260" i="2"/>
  <c r="J260" i="2"/>
  <c r="I260" i="2"/>
  <c r="H260" i="2"/>
  <c r="G260" i="2"/>
  <c r="F260" i="2"/>
  <c r="E260" i="2"/>
  <c r="D260" i="2"/>
  <c r="C260" i="2"/>
  <c r="L259" i="2"/>
  <c r="K259" i="2"/>
  <c r="J259" i="2"/>
  <c r="I259" i="2"/>
  <c r="H259" i="2"/>
  <c r="G259" i="2"/>
  <c r="F259" i="2"/>
  <c r="E259" i="2"/>
  <c r="D259" i="2"/>
  <c r="C259" i="2"/>
  <c r="L258" i="2"/>
  <c r="K258" i="2"/>
  <c r="J258" i="2"/>
  <c r="I258" i="2"/>
  <c r="H258" i="2"/>
  <c r="G258" i="2"/>
  <c r="F258" i="2"/>
  <c r="E258" i="2"/>
  <c r="D258" i="2"/>
  <c r="C258" i="2"/>
  <c r="L257" i="2"/>
  <c r="K257" i="2"/>
  <c r="J257" i="2"/>
  <c r="I257" i="2"/>
  <c r="H257" i="2"/>
  <c r="G257" i="2"/>
  <c r="F257" i="2"/>
  <c r="E257" i="2"/>
  <c r="D257" i="2"/>
  <c r="C257" i="2"/>
  <c r="L256" i="2"/>
  <c r="K256" i="2"/>
  <c r="J256" i="2"/>
  <c r="I256" i="2"/>
  <c r="H256" i="2"/>
  <c r="G256" i="2"/>
  <c r="F256" i="2"/>
  <c r="E256" i="2"/>
  <c r="D256" i="2"/>
  <c r="C256" i="2"/>
  <c r="L255" i="2"/>
  <c r="K255" i="2"/>
  <c r="J255" i="2"/>
  <c r="I255" i="2"/>
  <c r="H255" i="2"/>
  <c r="G255" i="2"/>
  <c r="F255" i="2"/>
  <c r="E255" i="2"/>
  <c r="D255" i="2"/>
  <c r="C255" i="2"/>
  <c r="L254" i="2"/>
  <c r="K254" i="2"/>
  <c r="J254" i="2"/>
  <c r="I254" i="2"/>
  <c r="H254" i="2"/>
  <c r="G254" i="2"/>
  <c r="F254" i="2"/>
  <c r="E254" i="2"/>
  <c r="D254" i="2"/>
  <c r="C254" i="2"/>
  <c r="L253" i="2"/>
  <c r="K253" i="2"/>
  <c r="J253" i="2"/>
  <c r="I253" i="2"/>
  <c r="H253" i="2"/>
  <c r="G253" i="2"/>
  <c r="F253" i="2"/>
  <c r="E253" i="2"/>
  <c r="D253" i="2"/>
  <c r="C253" i="2"/>
  <c r="L252" i="2"/>
  <c r="K252" i="2"/>
  <c r="J252" i="2"/>
  <c r="I252" i="2"/>
  <c r="H252" i="2"/>
  <c r="G252" i="2"/>
  <c r="F252" i="2"/>
  <c r="E252" i="2"/>
  <c r="D252" i="2"/>
  <c r="C252" i="2"/>
  <c r="L251" i="2"/>
  <c r="K251" i="2"/>
  <c r="J251" i="2"/>
  <c r="I251" i="2"/>
  <c r="H251" i="2"/>
  <c r="G251" i="2"/>
  <c r="F251" i="2"/>
  <c r="E251" i="2"/>
  <c r="D251" i="2"/>
  <c r="C251" i="2"/>
  <c r="L250" i="2"/>
  <c r="K250" i="2"/>
  <c r="J250" i="2"/>
  <c r="I250" i="2"/>
  <c r="H250" i="2"/>
  <c r="G250" i="2"/>
  <c r="F250" i="2"/>
  <c r="E250" i="2"/>
  <c r="D250" i="2"/>
  <c r="C250" i="2"/>
  <c r="L249" i="2"/>
  <c r="K249" i="2"/>
  <c r="J249" i="2"/>
  <c r="I249" i="2"/>
  <c r="H249" i="2"/>
  <c r="G249" i="2"/>
  <c r="F249" i="2"/>
  <c r="E249" i="2"/>
  <c r="D249" i="2"/>
  <c r="C249" i="2"/>
  <c r="L248" i="2"/>
  <c r="K248" i="2"/>
  <c r="J248" i="2"/>
  <c r="I248" i="2"/>
  <c r="H248" i="2"/>
  <c r="G248" i="2"/>
  <c r="F248" i="2"/>
  <c r="E248" i="2"/>
  <c r="D248" i="2"/>
  <c r="C248" i="2"/>
  <c r="L247" i="2"/>
  <c r="K247" i="2"/>
  <c r="J247" i="2"/>
  <c r="I247" i="2"/>
  <c r="H247" i="2"/>
  <c r="G247" i="2"/>
  <c r="F247" i="2"/>
  <c r="E247" i="2"/>
  <c r="D247" i="2"/>
  <c r="C247" i="2"/>
  <c r="L246" i="2"/>
  <c r="K246" i="2"/>
  <c r="J246" i="2"/>
  <c r="I246" i="2"/>
  <c r="H246" i="2"/>
  <c r="G246" i="2"/>
  <c r="F246" i="2"/>
  <c r="E246" i="2"/>
  <c r="D246" i="2"/>
  <c r="C246" i="2"/>
  <c r="L245" i="2"/>
  <c r="K245" i="2"/>
  <c r="J245" i="2"/>
  <c r="I245" i="2"/>
  <c r="H245" i="2"/>
  <c r="G245" i="2"/>
  <c r="F245" i="2"/>
  <c r="E245" i="2"/>
  <c r="D245" i="2"/>
  <c r="C245" i="2"/>
  <c r="L244" i="2"/>
  <c r="K244" i="2"/>
  <c r="J244" i="2"/>
  <c r="I244" i="2"/>
  <c r="H244" i="2"/>
  <c r="G244" i="2"/>
  <c r="F244" i="2"/>
  <c r="E244" i="2"/>
  <c r="D244" i="2"/>
  <c r="C244" i="2"/>
  <c r="L243" i="2"/>
  <c r="K243" i="2"/>
  <c r="J243" i="2"/>
  <c r="I243" i="2"/>
  <c r="H243" i="2"/>
  <c r="G243" i="2"/>
  <c r="F243" i="2"/>
  <c r="E243" i="2"/>
  <c r="D243" i="2"/>
  <c r="C243" i="2"/>
  <c r="L242" i="2"/>
  <c r="K242" i="2"/>
  <c r="J242" i="2"/>
  <c r="I242" i="2"/>
  <c r="H242" i="2"/>
  <c r="G242" i="2"/>
  <c r="F242" i="2"/>
  <c r="E242" i="2"/>
  <c r="D242" i="2"/>
  <c r="C242" i="2"/>
  <c r="L241" i="2"/>
  <c r="K241" i="2"/>
  <c r="J241" i="2"/>
  <c r="I241" i="2"/>
  <c r="H241" i="2"/>
  <c r="G241" i="2"/>
  <c r="F241" i="2"/>
  <c r="E241" i="2"/>
  <c r="D241" i="2"/>
  <c r="C241" i="2"/>
  <c r="L240" i="2"/>
  <c r="K240" i="2"/>
  <c r="J240" i="2"/>
  <c r="I240" i="2"/>
  <c r="H240" i="2"/>
  <c r="G240" i="2"/>
  <c r="F240" i="2"/>
  <c r="E240" i="2"/>
  <c r="D240" i="2"/>
  <c r="C240" i="2"/>
  <c r="L239" i="2"/>
  <c r="K239" i="2"/>
  <c r="J239" i="2"/>
  <c r="I239" i="2"/>
  <c r="H239" i="2"/>
  <c r="G239" i="2"/>
  <c r="F239" i="2"/>
  <c r="E239" i="2"/>
  <c r="D239" i="2"/>
  <c r="C239" i="2"/>
  <c r="L238" i="2"/>
  <c r="K238" i="2"/>
  <c r="J238" i="2"/>
  <c r="I238" i="2"/>
  <c r="H238" i="2"/>
  <c r="G238" i="2"/>
  <c r="F238" i="2"/>
  <c r="E238" i="2"/>
  <c r="D238" i="2"/>
  <c r="C238" i="2"/>
  <c r="L237" i="2"/>
  <c r="K237" i="2"/>
  <c r="J237" i="2"/>
  <c r="I237" i="2"/>
  <c r="H237" i="2"/>
  <c r="G237" i="2"/>
  <c r="F237" i="2"/>
  <c r="E237" i="2"/>
  <c r="D237" i="2"/>
  <c r="C237" i="2"/>
  <c r="L236" i="2"/>
  <c r="K236" i="2"/>
  <c r="J236" i="2"/>
  <c r="I236" i="2"/>
  <c r="H236" i="2"/>
  <c r="G236" i="2"/>
  <c r="F236" i="2"/>
  <c r="E236" i="2"/>
  <c r="D236" i="2"/>
  <c r="C236" i="2"/>
  <c r="L235" i="2"/>
  <c r="K235" i="2"/>
  <c r="J235" i="2"/>
  <c r="I235" i="2"/>
  <c r="H235" i="2"/>
  <c r="G235" i="2"/>
  <c r="F235" i="2"/>
  <c r="E235" i="2"/>
  <c r="D235" i="2"/>
  <c r="C235" i="2"/>
  <c r="L234" i="2"/>
  <c r="K234" i="2"/>
  <c r="J234" i="2"/>
  <c r="I234" i="2"/>
  <c r="H234" i="2"/>
  <c r="G234" i="2"/>
  <c r="F234" i="2"/>
  <c r="E234" i="2"/>
  <c r="D234" i="2"/>
  <c r="C234" i="2"/>
  <c r="L233" i="2"/>
  <c r="K233" i="2"/>
  <c r="J233" i="2"/>
  <c r="I233" i="2"/>
  <c r="H233" i="2"/>
  <c r="G233" i="2"/>
  <c r="F233" i="2"/>
  <c r="E233" i="2"/>
  <c r="D233" i="2"/>
  <c r="C233" i="2"/>
  <c r="L232" i="2"/>
  <c r="K232" i="2"/>
  <c r="J232" i="2"/>
  <c r="I232" i="2"/>
  <c r="H232" i="2"/>
  <c r="G232" i="2"/>
  <c r="F232" i="2"/>
  <c r="E232" i="2"/>
  <c r="D232" i="2"/>
  <c r="C232" i="2"/>
  <c r="L231" i="2"/>
  <c r="K231" i="2"/>
  <c r="J231" i="2"/>
  <c r="I231" i="2"/>
  <c r="H231" i="2"/>
  <c r="G231" i="2"/>
  <c r="F231" i="2"/>
  <c r="E231" i="2"/>
  <c r="D231" i="2"/>
  <c r="C231" i="2"/>
  <c r="L230" i="2"/>
  <c r="K230" i="2"/>
  <c r="J230" i="2"/>
  <c r="I230" i="2"/>
  <c r="H230" i="2"/>
  <c r="G230" i="2"/>
  <c r="F230" i="2"/>
  <c r="E230" i="2"/>
  <c r="D230" i="2"/>
  <c r="C230" i="2"/>
  <c r="L229" i="2"/>
  <c r="K229" i="2"/>
  <c r="J229" i="2"/>
  <c r="I229" i="2"/>
  <c r="H229" i="2"/>
  <c r="G229" i="2"/>
  <c r="F229" i="2"/>
  <c r="E229" i="2"/>
  <c r="D229" i="2"/>
  <c r="C229" i="2"/>
  <c r="L228" i="2"/>
  <c r="K228" i="2"/>
  <c r="J228" i="2"/>
  <c r="I228" i="2"/>
  <c r="H228" i="2"/>
  <c r="G228" i="2"/>
  <c r="F228" i="2"/>
  <c r="E228" i="2"/>
  <c r="D228" i="2"/>
  <c r="C228" i="2"/>
  <c r="L227" i="2"/>
  <c r="K227" i="2"/>
  <c r="J227" i="2"/>
  <c r="I227" i="2"/>
  <c r="H227" i="2"/>
  <c r="G227" i="2"/>
  <c r="F227" i="2"/>
  <c r="E227" i="2"/>
  <c r="D227" i="2"/>
  <c r="C227" i="2"/>
  <c r="L226" i="2"/>
  <c r="K226" i="2"/>
  <c r="J226" i="2"/>
  <c r="I226" i="2"/>
  <c r="H226" i="2"/>
  <c r="G226" i="2"/>
  <c r="F226" i="2"/>
  <c r="E226" i="2"/>
  <c r="D226" i="2"/>
  <c r="C226" i="2"/>
  <c r="L225" i="2"/>
  <c r="K225" i="2"/>
  <c r="J225" i="2"/>
  <c r="I225" i="2"/>
  <c r="H225" i="2"/>
  <c r="G225" i="2"/>
  <c r="F225" i="2"/>
  <c r="E225" i="2"/>
  <c r="D225" i="2"/>
  <c r="C225" i="2"/>
  <c r="L224" i="2"/>
  <c r="K224" i="2"/>
  <c r="J224" i="2"/>
  <c r="I224" i="2"/>
  <c r="H224" i="2"/>
  <c r="G224" i="2"/>
  <c r="F224" i="2"/>
  <c r="E224" i="2"/>
  <c r="D224" i="2"/>
  <c r="C224" i="2"/>
  <c r="L223" i="2"/>
  <c r="K223" i="2"/>
  <c r="J223" i="2"/>
  <c r="I223" i="2"/>
  <c r="H223" i="2"/>
  <c r="G223" i="2"/>
  <c r="F223" i="2"/>
  <c r="E223" i="2"/>
  <c r="D223" i="2"/>
  <c r="C223" i="2"/>
  <c r="L222" i="2"/>
  <c r="K222" i="2"/>
  <c r="J222" i="2"/>
  <c r="I222" i="2"/>
  <c r="H222" i="2"/>
  <c r="G222" i="2"/>
  <c r="F222" i="2"/>
  <c r="E222" i="2"/>
  <c r="D222" i="2"/>
  <c r="C222" i="2"/>
  <c r="L221" i="2"/>
  <c r="K221" i="2"/>
  <c r="J221" i="2"/>
  <c r="I221" i="2"/>
  <c r="H221" i="2"/>
  <c r="G221" i="2"/>
  <c r="F221" i="2"/>
  <c r="E221" i="2"/>
  <c r="D221" i="2"/>
  <c r="C221" i="2"/>
  <c r="L220" i="2"/>
  <c r="K220" i="2"/>
  <c r="J220" i="2"/>
  <c r="I220" i="2"/>
  <c r="H220" i="2"/>
  <c r="G220" i="2"/>
  <c r="F220" i="2"/>
  <c r="E220" i="2"/>
  <c r="D220" i="2"/>
  <c r="C220" i="2"/>
  <c r="L219" i="2"/>
  <c r="K219" i="2"/>
  <c r="J219" i="2"/>
  <c r="I219" i="2"/>
  <c r="H219" i="2"/>
  <c r="G219" i="2"/>
  <c r="F219" i="2"/>
  <c r="E219" i="2"/>
  <c r="D219" i="2"/>
  <c r="C219" i="2"/>
  <c r="L218" i="2"/>
  <c r="K218" i="2"/>
  <c r="J218" i="2"/>
  <c r="I218" i="2"/>
  <c r="H218" i="2"/>
  <c r="G218" i="2"/>
  <c r="F218" i="2"/>
  <c r="E218" i="2"/>
  <c r="D218" i="2"/>
  <c r="C218" i="2"/>
  <c r="L217" i="2"/>
  <c r="K217" i="2"/>
  <c r="J217" i="2"/>
  <c r="I217" i="2"/>
  <c r="H217" i="2"/>
  <c r="G217" i="2"/>
  <c r="F217" i="2"/>
  <c r="E217" i="2"/>
  <c r="D217" i="2"/>
  <c r="C217" i="2"/>
  <c r="L216" i="2"/>
  <c r="K216" i="2"/>
  <c r="J216" i="2"/>
  <c r="I216" i="2"/>
  <c r="H216" i="2"/>
  <c r="G216" i="2"/>
  <c r="F216" i="2"/>
  <c r="E216" i="2"/>
  <c r="D216" i="2"/>
  <c r="C216" i="2"/>
  <c r="L215" i="2"/>
  <c r="K215" i="2"/>
  <c r="J215" i="2"/>
  <c r="I215" i="2"/>
  <c r="H215" i="2"/>
  <c r="G215" i="2"/>
  <c r="F215" i="2"/>
  <c r="E215" i="2"/>
  <c r="D215" i="2"/>
  <c r="C215" i="2"/>
  <c r="L214" i="2"/>
  <c r="K214" i="2"/>
  <c r="J214" i="2"/>
  <c r="I214" i="2"/>
  <c r="H214" i="2"/>
  <c r="G214" i="2"/>
  <c r="F214" i="2"/>
  <c r="E214" i="2"/>
  <c r="D214" i="2"/>
  <c r="C214" i="2"/>
  <c r="L213" i="2"/>
  <c r="K213" i="2"/>
  <c r="J213" i="2"/>
  <c r="I213" i="2"/>
  <c r="H213" i="2"/>
  <c r="G213" i="2"/>
  <c r="F213" i="2"/>
  <c r="E213" i="2"/>
  <c r="D213" i="2"/>
  <c r="C213" i="2"/>
  <c r="L212" i="2"/>
  <c r="K212" i="2"/>
  <c r="J212" i="2"/>
  <c r="I212" i="2"/>
  <c r="H212" i="2"/>
  <c r="G212" i="2"/>
  <c r="F212" i="2"/>
  <c r="E212" i="2"/>
  <c r="D212" i="2"/>
  <c r="C212" i="2"/>
  <c r="L211" i="2"/>
  <c r="K211" i="2"/>
  <c r="J211" i="2"/>
  <c r="I211" i="2"/>
  <c r="H211" i="2"/>
  <c r="G211" i="2"/>
  <c r="F211" i="2"/>
  <c r="E211" i="2"/>
  <c r="D211" i="2"/>
  <c r="C211" i="2"/>
  <c r="L210" i="2"/>
  <c r="K210" i="2"/>
  <c r="J210" i="2"/>
  <c r="I210" i="2"/>
  <c r="H210" i="2"/>
  <c r="G210" i="2"/>
  <c r="F210" i="2"/>
  <c r="E210" i="2"/>
  <c r="D210" i="2"/>
  <c r="C210" i="2"/>
  <c r="L209" i="2"/>
  <c r="K209" i="2"/>
  <c r="J209" i="2"/>
  <c r="I209" i="2"/>
  <c r="H209" i="2"/>
  <c r="G209" i="2"/>
  <c r="F209" i="2"/>
  <c r="E209" i="2"/>
  <c r="D209" i="2"/>
  <c r="C209" i="2"/>
  <c r="L208" i="2"/>
  <c r="K208" i="2"/>
  <c r="J208" i="2"/>
  <c r="I208" i="2"/>
  <c r="H208" i="2"/>
  <c r="G208" i="2"/>
  <c r="F208" i="2"/>
  <c r="E208" i="2"/>
  <c r="D208" i="2"/>
  <c r="C208" i="2"/>
  <c r="L207" i="2"/>
  <c r="K207" i="2"/>
  <c r="J207" i="2"/>
  <c r="I207" i="2"/>
  <c r="H207" i="2"/>
  <c r="G207" i="2"/>
  <c r="F207" i="2"/>
  <c r="E207" i="2"/>
  <c r="D207" i="2"/>
  <c r="C207" i="2"/>
  <c r="L206" i="2"/>
  <c r="K206" i="2"/>
  <c r="J206" i="2"/>
  <c r="I206" i="2"/>
  <c r="H206" i="2"/>
  <c r="G206" i="2"/>
  <c r="F206" i="2"/>
  <c r="E206" i="2"/>
  <c r="D206" i="2"/>
  <c r="C206" i="2"/>
  <c r="L205" i="2"/>
  <c r="K205" i="2"/>
  <c r="J205" i="2"/>
  <c r="I205" i="2"/>
  <c r="H205" i="2"/>
  <c r="G205" i="2"/>
  <c r="F205" i="2"/>
  <c r="E205" i="2"/>
  <c r="D205" i="2"/>
  <c r="C205" i="2"/>
  <c r="L204" i="2"/>
  <c r="K204" i="2"/>
  <c r="J204" i="2"/>
  <c r="I204" i="2"/>
  <c r="H204" i="2"/>
  <c r="G204" i="2"/>
  <c r="F204" i="2"/>
  <c r="E204" i="2"/>
  <c r="D204" i="2"/>
  <c r="C204" i="2"/>
  <c r="L203" i="2"/>
  <c r="K203" i="2"/>
  <c r="J203" i="2"/>
  <c r="I203" i="2"/>
  <c r="H203" i="2"/>
  <c r="G203" i="2"/>
  <c r="F203" i="2"/>
  <c r="E203" i="2"/>
  <c r="D203" i="2"/>
  <c r="C203" i="2"/>
  <c r="L202" i="2"/>
  <c r="K202" i="2"/>
  <c r="J202" i="2"/>
  <c r="I202" i="2"/>
  <c r="H202" i="2"/>
  <c r="G202" i="2"/>
  <c r="F202" i="2"/>
  <c r="E202" i="2"/>
  <c r="D202" i="2"/>
  <c r="C202" i="2"/>
  <c r="L201" i="2"/>
  <c r="K201" i="2"/>
  <c r="J201" i="2"/>
  <c r="I201" i="2"/>
  <c r="H201" i="2"/>
  <c r="G201" i="2"/>
  <c r="F201" i="2"/>
  <c r="E201" i="2"/>
  <c r="D201" i="2"/>
  <c r="C201" i="2"/>
  <c r="L200" i="2"/>
  <c r="K200" i="2"/>
  <c r="J200" i="2"/>
  <c r="I200" i="2"/>
  <c r="H200" i="2"/>
  <c r="G200" i="2"/>
  <c r="F200" i="2"/>
  <c r="E200" i="2"/>
  <c r="D200" i="2"/>
  <c r="C200" i="2"/>
  <c r="L199" i="2"/>
  <c r="K199" i="2"/>
  <c r="J199" i="2"/>
  <c r="I199" i="2"/>
  <c r="H199" i="2"/>
  <c r="G199" i="2"/>
  <c r="F199" i="2"/>
  <c r="E199" i="2"/>
  <c r="D199" i="2"/>
  <c r="C199" i="2"/>
  <c r="L198" i="2"/>
  <c r="K198" i="2"/>
  <c r="J198" i="2"/>
  <c r="I198" i="2"/>
  <c r="H198" i="2"/>
  <c r="G198" i="2"/>
  <c r="F198" i="2"/>
  <c r="E198" i="2"/>
  <c r="D198" i="2"/>
  <c r="C198" i="2"/>
  <c r="L197" i="2"/>
  <c r="K197" i="2"/>
  <c r="J197" i="2"/>
  <c r="I197" i="2"/>
  <c r="H197" i="2"/>
  <c r="G197" i="2"/>
  <c r="F197" i="2"/>
  <c r="E197" i="2"/>
  <c r="D197" i="2"/>
  <c r="C197" i="2"/>
  <c r="L196" i="2"/>
  <c r="K196" i="2"/>
  <c r="J196" i="2"/>
  <c r="I196" i="2"/>
  <c r="H196" i="2"/>
  <c r="G196" i="2"/>
  <c r="F196" i="2"/>
  <c r="E196" i="2"/>
  <c r="D196" i="2"/>
  <c r="C196" i="2"/>
  <c r="L195" i="2"/>
  <c r="K195" i="2"/>
  <c r="J195" i="2"/>
  <c r="I195" i="2"/>
  <c r="H195" i="2"/>
  <c r="G195" i="2"/>
  <c r="F195" i="2"/>
  <c r="E195" i="2"/>
  <c r="D195" i="2"/>
  <c r="C195" i="2"/>
  <c r="L194" i="2"/>
  <c r="K194" i="2"/>
  <c r="J194" i="2"/>
  <c r="I194" i="2"/>
  <c r="H194" i="2"/>
  <c r="G194" i="2"/>
  <c r="F194" i="2"/>
  <c r="E194" i="2"/>
  <c r="D194" i="2"/>
  <c r="C194" i="2"/>
  <c r="L193" i="2"/>
  <c r="K193" i="2"/>
  <c r="J193" i="2"/>
  <c r="I193" i="2"/>
  <c r="H193" i="2"/>
  <c r="G193" i="2"/>
  <c r="F193" i="2"/>
  <c r="E193" i="2"/>
  <c r="D193" i="2"/>
  <c r="C193" i="2"/>
  <c r="L192" i="2"/>
  <c r="K192" i="2"/>
  <c r="J192" i="2"/>
  <c r="I192" i="2"/>
  <c r="H192" i="2"/>
  <c r="G192" i="2"/>
  <c r="F192" i="2"/>
  <c r="E192" i="2"/>
  <c r="D192" i="2"/>
  <c r="C192" i="2"/>
  <c r="L191" i="2"/>
  <c r="K191" i="2"/>
  <c r="J191" i="2"/>
  <c r="I191" i="2"/>
  <c r="H191" i="2"/>
  <c r="G191" i="2"/>
  <c r="F191" i="2"/>
  <c r="E191" i="2"/>
  <c r="D191" i="2"/>
  <c r="C191" i="2"/>
  <c r="L190" i="2"/>
  <c r="K190" i="2"/>
  <c r="J190" i="2"/>
  <c r="I190" i="2"/>
  <c r="H190" i="2"/>
  <c r="G190" i="2"/>
  <c r="F190" i="2"/>
  <c r="E190" i="2"/>
  <c r="D190" i="2"/>
  <c r="C190" i="2"/>
  <c r="L189" i="2"/>
  <c r="K189" i="2"/>
  <c r="J189" i="2"/>
  <c r="I189" i="2"/>
  <c r="H189" i="2"/>
  <c r="G189" i="2"/>
  <c r="F189" i="2"/>
  <c r="E189" i="2"/>
  <c r="D189" i="2"/>
  <c r="C189" i="2"/>
  <c r="L188" i="2"/>
  <c r="K188" i="2"/>
  <c r="J188" i="2"/>
  <c r="I188" i="2"/>
  <c r="H188" i="2"/>
  <c r="G188" i="2"/>
  <c r="F188" i="2"/>
  <c r="E188" i="2"/>
  <c r="D188" i="2"/>
  <c r="C188" i="2"/>
  <c r="L187" i="2"/>
  <c r="K187" i="2"/>
  <c r="J187" i="2"/>
  <c r="I187" i="2"/>
  <c r="H187" i="2"/>
  <c r="G187" i="2"/>
  <c r="F187" i="2"/>
  <c r="E187" i="2"/>
  <c r="D187" i="2"/>
  <c r="C187" i="2"/>
  <c r="L186" i="2"/>
  <c r="K186" i="2"/>
  <c r="J186" i="2"/>
  <c r="I186" i="2"/>
  <c r="H186" i="2"/>
  <c r="G186" i="2"/>
  <c r="F186" i="2"/>
  <c r="E186" i="2"/>
  <c r="D186" i="2"/>
  <c r="C186" i="2"/>
  <c r="L185" i="2"/>
  <c r="K185" i="2"/>
  <c r="J185" i="2"/>
  <c r="I185" i="2"/>
  <c r="H185" i="2"/>
  <c r="G185" i="2"/>
  <c r="F185" i="2"/>
  <c r="E185" i="2"/>
  <c r="D185" i="2"/>
  <c r="C185" i="2"/>
  <c r="L184" i="2"/>
  <c r="K184" i="2"/>
  <c r="J184" i="2"/>
  <c r="I184" i="2"/>
  <c r="H184" i="2"/>
  <c r="G184" i="2"/>
  <c r="F184" i="2"/>
  <c r="E184" i="2"/>
  <c r="D184" i="2"/>
  <c r="C184" i="2"/>
  <c r="L183" i="2"/>
  <c r="K183" i="2"/>
  <c r="J183" i="2"/>
  <c r="I183" i="2"/>
  <c r="H183" i="2"/>
  <c r="G183" i="2"/>
  <c r="F183" i="2"/>
  <c r="E183" i="2"/>
  <c r="D183" i="2"/>
  <c r="C183" i="2"/>
  <c r="L182" i="2"/>
  <c r="K182" i="2"/>
  <c r="J182" i="2"/>
  <c r="I182" i="2"/>
  <c r="H182" i="2"/>
  <c r="G182" i="2"/>
  <c r="F182" i="2"/>
  <c r="E182" i="2"/>
  <c r="D182" i="2"/>
  <c r="C182" i="2"/>
  <c r="L181" i="2"/>
  <c r="K181" i="2"/>
  <c r="J181" i="2"/>
  <c r="I181" i="2"/>
  <c r="H181" i="2"/>
  <c r="G181" i="2"/>
  <c r="F181" i="2"/>
  <c r="E181" i="2"/>
  <c r="D181" i="2"/>
  <c r="C181" i="2"/>
  <c r="L180" i="2"/>
  <c r="K180" i="2"/>
  <c r="J180" i="2"/>
  <c r="I180" i="2"/>
  <c r="H180" i="2"/>
  <c r="G180" i="2"/>
  <c r="F180" i="2"/>
  <c r="E180" i="2"/>
  <c r="D180" i="2"/>
  <c r="C180" i="2"/>
  <c r="L179" i="2"/>
  <c r="K179" i="2"/>
  <c r="J179" i="2"/>
  <c r="I179" i="2"/>
  <c r="H179" i="2"/>
  <c r="G179" i="2"/>
  <c r="F179" i="2"/>
  <c r="E179" i="2"/>
  <c r="D179" i="2"/>
  <c r="C179" i="2"/>
  <c r="L178" i="2"/>
  <c r="K178" i="2"/>
  <c r="J178" i="2"/>
  <c r="I178" i="2"/>
  <c r="H178" i="2"/>
  <c r="G178" i="2"/>
  <c r="F178" i="2"/>
  <c r="E178" i="2"/>
  <c r="D178" i="2"/>
  <c r="C178" i="2"/>
  <c r="L177" i="2"/>
  <c r="K177" i="2"/>
  <c r="J177" i="2"/>
  <c r="I177" i="2"/>
  <c r="H177" i="2"/>
  <c r="G177" i="2"/>
  <c r="F177" i="2"/>
  <c r="E177" i="2"/>
  <c r="D177" i="2"/>
  <c r="C177" i="2"/>
  <c r="L176" i="2"/>
  <c r="K176" i="2"/>
  <c r="J176" i="2"/>
  <c r="I176" i="2"/>
  <c r="H176" i="2"/>
  <c r="G176" i="2"/>
  <c r="F176" i="2"/>
  <c r="E176" i="2"/>
  <c r="D176" i="2"/>
  <c r="C176" i="2"/>
  <c r="L175" i="2"/>
  <c r="K175" i="2"/>
  <c r="J175" i="2"/>
  <c r="I175" i="2"/>
  <c r="H175" i="2"/>
  <c r="G175" i="2"/>
  <c r="F175" i="2"/>
  <c r="E175" i="2"/>
  <c r="D175" i="2"/>
  <c r="C175" i="2"/>
  <c r="L174" i="2"/>
  <c r="K174" i="2"/>
  <c r="J174" i="2"/>
  <c r="I174" i="2"/>
  <c r="H174" i="2"/>
  <c r="G174" i="2"/>
  <c r="F174" i="2"/>
  <c r="E174" i="2"/>
  <c r="D174" i="2"/>
  <c r="C174" i="2"/>
  <c r="L173" i="2"/>
  <c r="K173" i="2"/>
  <c r="J173" i="2"/>
  <c r="I173" i="2"/>
  <c r="H173" i="2"/>
  <c r="G173" i="2"/>
  <c r="F173" i="2"/>
  <c r="E173" i="2"/>
  <c r="D173" i="2"/>
  <c r="C173" i="2"/>
  <c r="L172" i="2"/>
  <c r="K172" i="2"/>
  <c r="J172" i="2"/>
  <c r="I172" i="2"/>
  <c r="H172" i="2"/>
  <c r="G172" i="2"/>
  <c r="F172" i="2"/>
  <c r="E172" i="2"/>
  <c r="D172" i="2"/>
  <c r="C172" i="2"/>
  <c r="L171" i="2"/>
  <c r="K171" i="2"/>
  <c r="J171" i="2"/>
  <c r="I171" i="2"/>
  <c r="H171" i="2"/>
  <c r="G171" i="2"/>
  <c r="F171" i="2"/>
  <c r="E171" i="2"/>
  <c r="D171" i="2"/>
  <c r="C171" i="2"/>
  <c r="L170" i="2"/>
  <c r="K170" i="2"/>
  <c r="J170" i="2"/>
  <c r="I170" i="2"/>
  <c r="H170" i="2"/>
  <c r="G170" i="2"/>
  <c r="F170" i="2"/>
  <c r="E170" i="2"/>
  <c r="D170" i="2"/>
  <c r="C170" i="2"/>
  <c r="L169" i="2"/>
  <c r="K169" i="2"/>
  <c r="J169" i="2"/>
  <c r="I169" i="2"/>
  <c r="H169" i="2"/>
  <c r="G169" i="2"/>
  <c r="F169" i="2"/>
  <c r="E169" i="2"/>
  <c r="D169" i="2"/>
  <c r="C169" i="2"/>
  <c r="L168" i="2"/>
  <c r="K168" i="2"/>
  <c r="J168" i="2"/>
  <c r="I168" i="2"/>
  <c r="H168" i="2"/>
  <c r="G168" i="2"/>
  <c r="F168" i="2"/>
  <c r="E168" i="2"/>
  <c r="D168" i="2"/>
  <c r="C168" i="2"/>
  <c r="L167" i="2"/>
  <c r="K167" i="2"/>
  <c r="J167" i="2"/>
  <c r="I167" i="2"/>
  <c r="H167" i="2"/>
  <c r="G167" i="2"/>
  <c r="F167" i="2"/>
  <c r="E167" i="2"/>
  <c r="D167" i="2"/>
  <c r="C167" i="2"/>
  <c r="L166" i="2"/>
  <c r="K166" i="2"/>
  <c r="J166" i="2"/>
  <c r="I166" i="2"/>
  <c r="H166" i="2"/>
  <c r="G166" i="2"/>
  <c r="F166" i="2"/>
  <c r="E166" i="2"/>
  <c r="D166" i="2"/>
  <c r="C166" i="2"/>
  <c r="L165" i="2"/>
  <c r="K165" i="2"/>
  <c r="J165" i="2"/>
  <c r="I165" i="2"/>
  <c r="H165" i="2"/>
  <c r="G165" i="2"/>
  <c r="F165" i="2"/>
  <c r="E165" i="2"/>
  <c r="D165" i="2"/>
  <c r="C165" i="2"/>
  <c r="L164" i="2"/>
  <c r="K164" i="2"/>
  <c r="J164" i="2"/>
  <c r="I164" i="2"/>
  <c r="H164" i="2"/>
  <c r="G164" i="2"/>
  <c r="F164" i="2"/>
  <c r="E164" i="2"/>
  <c r="D164" i="2"/>
  <c r="C164" i="2"/>
  <c r="L163" i="2"/>
  <c r="K163" i="2"/>
  <c r="J163" i="2"/>
  <c r="I163" i="2"/>
  <c r="H163" i="2"/>
  <c r="G163" i="2"/>
  <c r="F163" i="2"/>
  <c r="E163" i="2"/>
  <c r="D163" i="2"/>
  <c r="C163" i="2"/>
  <c r="L162" i="2"/>
  <c r="K162" i="2"/>
  <c r="J162" i="2"/>
  <c r="I162" i="2"/>
  <c r="H162" i="2"/>
  <c r="G162" i="2"/>
  <c r="F162" i="2"/>
  <c r="E162" i="2"/>
  <c r="D162" i="2"/>
  <c r="C162" i="2"/>
  <c r="L161" i="2"/>
  <c r="K161" i="2"/>
  <c r="J161" i="2"/>
  <c r="I161" i="2"/>
  <c r="H161" i="2"/>
  <c r="G161" i="2"/>
  <c r="F161" i="2"/>
  <c r="E161" i="2"/>
  <c r="D161" i="2"/>
  <c r="C161" i="2"/>
  <c r="L160" i="2"/>
  <c r="K160" i="2"/>
  <c r="J160" i="2"/>
  <c r="I160" i="2"/>
  <c r="H160" i="2"/>
  <c r="G160" i="2"/>
  <c r="F160" i="2"/>
  <c r="E160" i="2"/>
  <c r="D160" i="2"/>
  <c r="C160" i="2"/>
  <c r="L159" i="2"/>
  <c r="K159" i="2"/>
  <c r="J159" i="2"/>
  <c r="I159" i="2"/>
  <c r="H159" i="2"/>
  <c r="G159" i="2"/>
  <c r="F159" i="2"/>
  <c r="E159" i="2"/>
  <c r="D159" i="2"/>
  <c r="C159" i="2"/>
  <c r="L158" i="2"/>
  <c r="K158" i="2"/>
  <c r="J158" i="2"/>
  <c r="I158" i="2"/>
  <c r="H158" i="2"/>
  <c r="G158" i="2"/>
  <c r="F158" i="2"/>
  <c r="E158" i="2"/>
  <c r="D158" i="2"/>
  <c r="C158" i="2"/>
  <c r="L157" i="2"/>
  <c r="K157" i="2"/>
  <c r="J157" i="2"/>
  <c r="I157" i="2"/>
  <c r="H157" i="2"/>
  <c r="G157" i="2"/>
  <c r="F157" i="2"/>
  <c r="E157" i="2"/>
  <c r="D157" i="2"/>
  <c r="C157" i="2"/>
  <c r="L156" i="2"/>
  <c r="K156" i="2"/>
  <c r="J156" i="2"/>
  <c r="I156" i="2"/>
  <c r="H156" i="2"/>
  <c r="G156" i="2"/>
  <c r="F156" i="2"/>
  <c r="E156" i="2"/>
  <c r="D156" i="2"/>
  <c r="C156" i="2"/>
  <c r="L155" i="2"/>
  <c r="K155" i="2"/>
  <c r="J155" i="2"/>
  <c r="I155" i="2"/>
  <c r="H155" i="2"/>
  <c r="G155" i="2"/>
  <c r="F155" i="2"/>
  <c r="E155" i="2"/>
  <c r="D155" i="2"/>
  <c r="C155" i="2"/>
  <c r="L154" i="2"/>
  <c r="K154" i="2"/>
  <c r="J154" i="2"/>
  <c r="I154" i="2"/>
  <c r="H154" i="2"/>
  <c r="G154" i="2"/>
  <c r="F154" i="2"/>
  <c r="E154" i="2"/>
  <c r="D154" i="2"/>
  <c r="C154" i="2"/>
  <c r="L153" i="2"/>
  <c r="K153" i="2"/>
  <c r="J153" i="2"/>
  <c r="I153" i="2"/>
  <c r="H153" i="2"/>
  <c r="G153" i="2"/>
  <c r="F153" i="2"/>
  <c r="E153" i="2"/>
  <c r="D153" i="2"/>
  <c r="C153" i="2"/>
  <c r="L152" i="2"/>
  <c r="K152" i="2"/>
  <c r="J152" i="2"/>
  <c r="I152" i="2"/>
  <c r="H152" i="2"/>
  <c r="G152" i="2"/>
  <c r="F152" i="2"/>
  <c r="E152" i="2"/>
  <c r="D152" i="2"/>
  <c r="C152" i="2"/>
  <c r="L151" i="2"/>
  <c r="K151" i="2"/>
  <c r="J151" i="2"/>
  <c r="I151" i="2"/>
  <c r="H151" i="2"/>
  <c r="G151" i="2"/>
  <c r="F151" i="2"/>
  <c r="E151" i="2"/>
  <c r="D151" i="2"/>
  <c r="C151" i="2"/>
  <c r="L150" i="2"/>
  <c r="K150" i="2"/>
  <c r="J150" i="2"/>
  <c r="I150" i="2"/>
  <c r="H150" i="2"/>
  <c r="G150" i="2"/>
  <c r="F150" i="2"/>
  <c r="E150" i="2"/>
  <c r="D150" i="2"/>
  <c r="C150" i="2"/>
  <c r="L149" i="2"/>
  <c r="K149" i="2"/>
  <c r="J149" i="2"/>
  <c r="I149" i="2"/>
  <c r="H149" i="2"/>
  <c r="G149" i="2"/>
  <c r="F149" i="2"/>
  <c r="E149" i="2"/>
  <c r="D149" i="2"/>
  <c r="C149" i="2"/>
  <c r="L148" i="2"/>
  <c r="K148" i="2"/>
  <c r="J148" i="2"/>
  <c r="I148" i="2"/>
  <c r="H148" i="2"/>
  <c r="G148" i="2"/>
  <c r="F148" i="2"/>
  <c r="E148" i="2"/>
  <c r="D148" i="2"/>
  <c r="C148" i="2"/>
  <c r="L147" i="2"/>
  <c r="K147" i="2"/>
  <c r="J147" i="2"/>
  <c r="I147" i="2"/>
  <c r="H147" i="2"/>
  <c r="G147" i="2"/>
  <c r="F147" i="2"/>
  <c r="E147" i="2"/>
  <c r="D147" i="2"/>
  <c r="C147" i="2"/>
  <c r="L146" i="2"/>
  <c r="K146" i="2"/>
  <c r="J146" i="2"/>
  <c r="I146" i="2"/>
  <c r="H146" i="2"/>
  <c r="G146" i="2"/>
  <c r="F146" i="2"/>
  <c r="E146" i="2"/>
  <c r="D146" i="2"/>
  <c r="C146" i="2"/>
  <c r="L145" i="2"/>
  <c r="K145" i="2"/>
  <c r="J145" i="2"/>
  <c r="I145" i="2"/>
  <c r="H145" i="2"/>
  <c r="G145" i="2"/>
  <c r="F145" i="2"/>
  <c r="E145" i="2"/>
  <c r="D145" i="2"/>
  <c r="C145" i="2"/>
  <c r="L144" i="2"/>
  <c r="K144" i="2"/>
  <c r="J144" i="2"/>
  <c r="I144" i="2"/>
  <c r="H144" i="2"/>
  <c r="G144" i="2"/>
  <c r="F144" i="2"/>
  <c r="E144" i="2"/>
  <c r="D144" i="2"/>
  <c r="C144" i="2"/>
  <c r="L143" i="2"/>
  <c r="K143" i="2"/>
  <c r="J143" i="2"/>
  <c r="I143" i="2"/>
  <c r="H143" i="2"/>
  <c r="G143" i="2"/>
  <c r="F143" i="2"/>
  <c r="E143" i="2"/>
  <c r="D143" i="2"/>
  <c r="C143" i="2"/>
  <c r="L142" i="2"/>
  <c r="K142" i="2"/>
  <c r="J142" i="2"/>
  <c r="I142" i="2"/>
  <c r="H142" i="2"/>
  <c r="G142" i="2"/>
  <c r="F142" i="2"/>
  <c r="E142" i="2"/>
  <c r="D142" i="2"/>
  <c r="C142" i="2"/>
  <c r="L141" i="2"/>
  <c r="K141" i="2"/>
  <c r="J141" i="2"/>
  <c r="I141" i="2"/>
  <c r="H141" i="2"/>
  <c r="G141" i="2"/>
  <c r="F141" i="2"/>
  <c r="E141" i="2"/>
  <c r="D141" i="2"/>
  <c r="C141" i="2"/>
  <c r="L140" i="2"/>
  <c r="K140" i="2"/>
  <c r="J140" i="2"/>
  <c r="I140" i="2"/>
  <c r="H140" i="2"/>
  <c r="G140" i="2"/>
  <c r="F140" i="2"/>
  <c r="E140" i="2"/>
  <c r="D140" i="2"/>
  <c r="C140" i="2"/>
  <c r="L139" i="2"/>
  <c r="K139" i="2"/>
  <c r="J139" i="2"/>
  <c r="I139" i="2"/>
  <c r="H139" i="2"/>
  <c r="G139" i="2"/>
  <c r="F139" i="2"/>
  <c r="E139" i="2"/>
  <c r="D139" i="2"/>
  <c r="C139" i="2"/>
  <c r="L138" i="2"/>
  <c r="K138" i="2"/>
  <c r="J138" i="2"/>
  <c r="I138" i="2"/>
  <c r="H138" i="2"/>
  <c r="G138" i="2"/>
  <c r="F138" i="2"/>
  <c r="E138" i="2"/>
  <c r="D138" i="2"/>
  <c r="C138" i="2"/>
  <c r="L137" i="2"/>
  <c r="K137" i="2"/>
  <c r="J137" i="2"/>
  <c r="I137" i="2"/>
  <c r="H137" i="2"/>
  <c r="G137" i="2"/>
  <c r="F137" i="2"/>
  <c r="E137" i="2"/>
  <c r="D137" i="2"/>
  <c r="C137" i="2"/>
  <c r="L136" i="2"/>
  <c r="K136" i="2"/>
  <c r="J136" i="2"/>
  <c r="I136" i="2"/>
  <c r="H136" i="2"/>
  <c r="G136" i="2"/>
  <c r="F136" i="2"/>
  <c r="E136" i="2"/>
  <c r="D136" i="2"/>
  <c r="C136" i="2"/>
  <c r="L135" i="2"/>
  <c r="K135" i="2"/>
  <c r="J135" i="2"/>
  <c r="I135" i="2"/>
  <c r="H135" i="2"/>
  <c r="G135" i="2"/>
  <c r="F135" i="2"/>
  <c r="E135" i="2"/>
  <c r="D135" i="2"/>
  <c r="C135" i="2"/>
  <c r="L134" i="2"/>
  <c r="K134" i="2"/>
  <c r="J134" i="2"/>
  <c r="I134" i="2"/>
  <c r="H134" i="2"/>
  <c r="G134" i="2"/>
  <c r="F134" i="2"/>
  <c r="E134" i="2"/>
  <c r="D134" i="2"/>
  <c r="C134" i="2"/>
  <c r="L133" i="2"/>
  <c r="K133" i="2"/>
  <c r="J133" i="2"/>
  <c r="I133" i="2"/>
  <c r="H133" i="2"/>
  <c r="G133" i="2"/>
  <c r="F133" i="2"/>
  <c r="E133" i="2"/>
  <c r="D133" i="2"/>
  <c r="C133" i="2"/>
  <c r="L132" i="2"/>
  <c r="K132" i="2"/>
  <c r="J132" i="2"/>
  <c r="I132" i="2"/>
  <c r="H132" i="2"/>
  <c r="G132" i="2"/>
  <c r="F132" i="2"/>
  <c r="E132" i="2"/>
  <c r="D132" i="2"/>
  <c r="C132" i="2"/>
  <c r="L131" i="2"/>
  <c r="K131" i="2"/>
  <c r="J131" i="2"/>
  <c r="I131" i="2"/>
  <c r="H131" i="2"/>
  <c r="G131" i="2"/>
  <c r="F131" i="2"/>
  <c r="E131" i="2"/>
  <c r="D131" i="2"/>
  <c r="C131" i="2"/>
  <c r="L130" i="2"/>
  <c r="K130" i="2"/>
  <c r="J130" i="2"/>
  <c r="I130" i="2"/>
  <c r="H130" i="2"/>
  <c r="G130" i="2"/>
  <c r="F130" i="2"/>
  <c r="E130" i="2"/>
  <c r="D130" i="2"/>
  <c r="C130" i="2"/>
  <c r="L129" i="2"/>
  <c r="K129" i="2"/>
  <c r="J129" i="2"/>
  <c r="I129" i="2"/>
  <c r="H129" i="2"/>
  <c r="G129" i="2"/>
  <c r="F129" i="2"/>
  <c r="E129" i="2"/>
  <c r="D129" i="2"/>
  <c r="C129" i="2"/>
  <c r="L128" i="2"/>
  <c r="K128" i="2"/>
  <c r="J128" i="2"/>
  <c r="I128" i="2"/>
  <c r="H128" i="2"/>
  <c r="G128" i="2"/>
  <c r="F128" i="2"/>
  <c r="E128" i="2"/>
  <c r="D128" i="2"/>
  <c r="C128" i="2"/>
  <c r="L127" i="2"/>
  <c r="K127" i="2"/>
  <c r="J127" i="2"/>
  <c r="I127" i="2"/>
  <c r="H127" i="2"/>
  <c r="G127" i="2"/>
  <c r="F127" i="2"/>
  <c r="E127" i="2"/>
  <c r="D127" i="2"/>
  <c r="C127" i="2"/>
  <c r="L126" i="2"/>
  <c r="K126" i="2"/>
  <c r="J126" i="2"/>
  <c r="I126" i="2"/>
  <c r="H126" i="2"/>
  <c r="G126" i="2"/>
  <c r="F126" i="2"/>
  <c r="E126" i="2"/>
  <c r="D126" i="2"/>
  <c r="C126" i="2"/>
  <c r="L125" i="2"/>
  <c r="K125" i="2"/>
  <c r="J125" i="2"/>
  <c r="I125" i="2"/>
  <c r="H125" i="2"/>
  <c r="G125" i="2"/>
  <c r="F125" i="2"/>
  <c r="E125" i="2"/>
  <c r="D125" i="2"/>
  <c r="C125" i="2"/>
  <c r="L124" i="2"/>
  <c r="K124" i="2"/>
  <c r="J124" i="2"/>
  <c r="I124" i="2"/>
  <c r="H124" i="2"/>
  <c r="G124" i="2"/>
  <c r="F124" i="2"/>
  <c r="E124" i="2"/>
  <c r="D124" i="2"/>
  <c r="C124" i="2"/>
  <c r="L123" i="2"/>
  <c r="K123" i="2"/>
  <c r="J123" i="2"/>
  <c r="I123" i="2"/>
  <c r="H123" i="2"/>
  <c r="G123" i="2"/>
  <c r="F123" i="2"/>
  <c r="E123" i="2"/>
  <c r="D123" i="2"/>
  <c r="C123" i="2"/>
  <c r="L122" i="2"/>
  <c r="K122" i="2"/>
  <c r="J122" i="2"/>
  <c r="I122" i="2"/>
  <c r="H122" i="2"/>
  <c r="G122" i="2"/>
  <c r="F122" i="2"/>
  <c r="E122" i="2"/>
  <c r="D122" i="2"/>
  <c r="C122" i="2"/>
  <c r="L121" i="2"/>
  <c r="K121" i="2"/>
  <c r="J121" i="2"/>
  <c r="I121" i="2"/>
  <c r="H121" i="2"/>
  <c r="G121" i="2"/>
  <c r="F121" i="2"/>
  <c r="E121" i="2"/>
  <c r="D121" i="2"/>
  <c r="C121" i="2"/>
  <c r="L120" i="2"/>
  <c r="K120" i="2"/>
  <c r="J120" i="2"/>
  <c r="I120" i="2"/>
  <c r="H120" i="2"/>
  <c r="G120" i="2"/>
  <c r="F120" i="2"/>
  <c r="E120" i="2"/>
  <c r="D120" i="2"/>
  <c r="C120" i="2"/>
  <c r="L119" i="2"/>
  <c r="K119" i="2"/>
  <c r="J119" i="2"/>
  <c r="I119" i="2"/>
  <c r="H119" i="2"/>
  <c r="G119" i="2"/>
  <c r="F119" i="2"/>
  <c r="E119" i="2"/>
  <c r="D119" i="2"/>
  <c r="C119" i="2"/>
  <c r="L118" i="2"/>
  <c r="K118" i="2"/>
  <c r="J118" i="2"/>
  <c r="I118" i="2"/>
  <c r="H118" i="2"/>
  <c r="G118" i="2"/>
  <c r="F118" i="2"/>
  <c r="E118" i="2"/>
  <c r="D118" i="2"/>
  <c r="C118" i="2"/>
  <c r="L117" i="2"/>
  <c r="K117" i="2"/>
  <c r="J117" i="2"/>
  <c r="I117" i="2"/>
  <c r="H117" i="2"/>
  <c r="G117" i="2"/>
  <c r="F117" i="2"/>
  <c r="E117" i="2"/>
  <c r="D117" i="2"/>
  <c r="C117" i="2"/>
  <c r="L116" i="2"/>
  <c r="K116" i="2"/>
  <c r="J116" i="2"/>
  <c r="I116" i="2"/>
  <c r="H116" i="2"/>
  <c r="G116" i="2"/>
  <c r="F116" i="2"/>
  <c r="E116" i="2"/>
  <c r="D116" i="2"/>
  <c r="C116" i="2"/>
  <c r="L115" i="2"/>
  <c r="K115" i="2"/>
  <c r="J115" i="2"/>
  <c r="I115" i="2"/>
  <c r="H115" i="2"/>
  <c r="G115" i="2"/>
  <c r="F115" i="2"/>
  <c r="E115" i="2"/>
  <c r="D115" i="2"/>
  <c r="C115" i="2"/>
  <c r="L114" i="2"/>
  <c r="K114" i="2"/>
  <c r="J114" i="2"/>
  <c r="I114" i="2"/>
  <c r="H114" i="2"/>
  <c r="G114" i="2"/>
  <c r="F114" i="2"/>
  <c r="E114" i="2"/>
  <c r="D114" i="2"/>
  <c r="C114" i="2"/>
  <c r="L113" i="2"/>
  <c r="K113" i="2"/>
  <c r="J113" i="2"/>
  <c r="I113" i="2"/>
  <c r="H113" i="2"/>
  <c r="G113" i="2"/>
  <c r="F113" i="2"/>
  <c r="E113" i="2"/>
  <c r="D113" i="2"/>
  <c r="C113" i="2"/>
  <c r="L112" i="2"/>
  <c r="K112" i="2"/>
  <c r="J112" i="2"/>
  <c r="I112" i="2"/>
  <c r="H112" i="2"/>
  <c r="G112" i="2"/>
  <c r="F112" i="2"/>
  <c r="E112" i="2"/>
  <c r="D112" i="2"/>
  <c r="C112" i="2"/>
  <c r="L111" i="2"/>
  <c r="K111" i="2"/>
  <c r="J111" i="2"/>
  <c r="I111" i="2"/>
  <c r="H111" i="2"/>
  <c r="G111" i="2"/>
  <c r="F111" i="2"/>
  <c r="E111" i="2"/>
  <c r="D111" i="2"/>
  <c r="C111" i="2"/>
  <c r="L110" i="2"/>
  <c r="K110" i="2"/>
  <c r="J110" i="2"/>
  <c r="I110" i="2"/>
  <c r="H110" i="2"/>
  <c r="G110" i="2"/>
  <c r="F110" i="2"/>
  <c r="E110" i="2"/>
  <c r="D110" i="2"/>
  <c r="C110" i="2"/>
  <c r="L109" i="2"/>
  <c r="K109" i="2"/>
  <c r="J109" i="2"/>
  <c r="I109" i="2"/>
  <c r="H109" i="2"/>
  <c r="G109" i="2"/>
  <c r="F109" i="2"/>
  <c r="E109" i="2"/>
  <c r="D109" i="2"/>
  <c r="C109" i="2"/>
  <c r="L108" i="2"/>
  <c r="K108" i="2"/>
  <c r="J108" i="2"/>
  <c r="I108" i="2"/>
  <c r="H108" i="2"/>
  <c r="G108" i="2"/>
  <c r="F108" i="2"/>
  <c r="E108" i="2"/>
  <c r="D108" i="2"/>
  <c r="C108" i="2"/>
  <c r="L107" i="2"/>
  <c r="K107" i="2"/>
  <c r="J107" i="2"/>
  <c r="I107" i="2"/>
  <c r="H107" i="2"/>
  <c r="G107" i="2"/>
  <c r="F107" i="2"/>
  <c r="E107" i="2"/>
  <c r="D107" i="2"/>
  <c r="C107" i="2"/>
  <c r="L106" i="2"/>
  <c r="K106" i="2"/>
  <c r="J106" i="2"/>
  <c r="I106" i="2"/>
  <c r="H106" i="2"/>
  <c r="G106" i="2"/>
  <c r="F106" i="2"/>
  <c r="E106" i="2"/>
  <c r="D106" i="2"/>
  <c r="C106" i="2"/>
  <c r="L105" i="2"/>
  <c r="K105" i="2"/>
  <c r="J105" i="2"/>
  <c r="I105" i="2"/>
  <c r="H105" i="2"/>
  <c r="G105" i="2"/>
  <c r="F105" i="2"/>
  <c r="E105" i="2"/>
  <c r="D105" i="2"/>
  <c r="C105" i="2"/>
  <c r="L104" i="2"/>
  <c r="K104" i="2"/>
  <c r="J104" i="2"/>
  <c r="I104" i="2"/>
  <c r="H104" i="2"/>
  <c r="G104" i="2"/>
  <c r="F104" i="2"/>
  <c r="E104" i="2"/>
  <c r="D104" i="2"/>
  <c r="C104" i="2"/>
  <c r="L103" i="2"/>
  <c r="K103" i="2"/>
  <c r="J103" i="2"/>
  <c r="I103" i="2"/>
  <c r="H103" i="2"/>
  <c r="G103" i="2"/>
  <c r="F103" i="2"/>
  <c r="E103" i="2"/>
  <c r="D103" i="2"/>
  <c r="C103" i="2"/>
  <c r="L102" i="2"/>
  <c r="K102" i="2"/>
  <c r="J102" i="2"/>
  <c r="I102" i="2"/>
  <c r="H102" i="2"/>
  <c r="G102" i="2"/>
  <c r="F102" i="2"/>
  <c r="E102" i="2"/>
  <c r="D102" i="2"/>
  <c r="C102" i="2"/>
  <c r="L101" i="2"/>
  <c r="K101" i="2"/>
  <c r="J101" i="2"/>
  <c r="I101" i="2"/>
  <c r="H101" i="2"/>
  <c r="G101" i="2"/>
  <c r="F101" i="2"/>
  <c r="E101" i="2"/>
  <c r="D101" i="2"/>
  <c r="C101" i="2"/>
  <c r="L100" i="2"/>
  <c r="K100" i="2"/>
  <c r="J100" i="2"/>
  <c r="I100" i="2"/>
  <c r="H100" i="2"/>
  <c r="G100" i="2"/>
  <c r="F100" i="2"/>
  <c r="E100" i="2"/>
  <c r="D100" i="2"/>
  <c r="C100" i="2"/>
  <c r="L99" i="2"/>
  <c r="K99" i="2"/>
  <c r="J99" i="2"/>
  <c r="I99" i="2"/>
  <c r="H99" i="2"/>
  <c r="G99" i="2"/>
  <c r="F99" i="2"/>
  <c r="E99" i="2"/>
  <c r="D99" i="2"/>
  <c r="C99" i="2"/>
  <c r="L98" i="2"/>
  <c r="K98" i="2"/>
  <c r="J98" i="2"/>
  <c r="I98" i="2"/>
  <c r="H98" i="2"/>
  <c r="G98" i="2"/>
  <c r="F98" i="2"/>
  <c r="E98" i="2"/>
  <c r="D98" i="2"/>
  <c r="C98" i="2"/>
  <c r="L97" i="2"/>
  <c r="K97" i="2"/>
  <c r="J97" i="2"/>
  <c r="I97" i="2"/>
  <c r="H97" i="2"/>
  <c r="G97" i="2"/>
  <c r="F97" i="2"/>
  <c r="E97" i="2"/>
  <c r="D97" i="2"/>
  <c r="C97" i="2"/>
  <c r="L96" i="2"/>
  <c r="K96" i="2"/>
  <c r="J96" i="2"/>
  <c r="I96" i="2"/>
  <c r="H96" i="2"/>
  <c r="G96" i="2"/>
  <c r="F96" i="2"/>
  <c r="E96" i="2"/>
  <c r="D96" i="2"/>
  <c r="C96" i="2"/>
  <c r="L95" i="2"/>
  <c r="K95" i="2"/>
  <c r="J95" i="2"/>
  <c r="I95" i="2"/>
  <c r="H95" i="2"/>
  <c r="G95" i="2"/>
  <c r="F95" i="2"/>
  <c r="E95" i="2"/>
  <c r="D95" i="2"/>
  <c r="C95" i="2"/>
  <c r="L94" i="2"/>
  <c r="K94" i="2"/>
  <c r="J94" i="2"/>
  <c r="I94" i="2"/>
  <c r="H94" i="2"/>
  <c r="G94" i="2"/>
  <c r="F94" i="2"/>
  <c r="E94" i="2"/>
  <c r="D94" i="2"/>
  <c r="C94" i="2"/>
  <c r="L93" i="2"/>
  <c r="K93" i="2"/>
  <c r="J93" i="2"/>
  <c r="I93" i="2"/>
  <c r="H93" i="2"/>
  <c r="G93" i="2"/>
  <c r="F93" i="2"/>
  <c r="E93" i="2"/>
  <c r="D93" i="2"/>
  <c r="C93" i="2"/>
  <c r="L92" i="2"/>
  <c r="K92" i="2"/>
  <c r="J92" i="2"/>
  <c r="I92" i="2"/>
  <c r="H92" i="2"/>
  <c r="G92" i="2"/>
  <c r="F92" i="2"/>
  <c r="E92" i="2"/>
  <c r="D92" i="2"/>
  <c r="C92" i="2"/>
  <c r="L91" i="2"/>
  <c r="K91" i="2"/>
  <c r="J91" i="2"/>
  <c r="I91" i="2"/>
  <c r="H91" i="2"/>
  <c r="G91" i="2"/>
  <c r="F91" i="2"/>
  <c r="E91" i="2"/>
  <c r="D91" i="2"/>
  <c r="C91" i="2"/>
  <c r="L90" i="2"/>
  <c r="K90" i="2"/>
  <c r="J90" i="2"/>
  <c r="I90" i="2"/>
  <c r="H90" i="2"/>
  <c r="G90" i="2"/>
  <c r="F90" i="2"/>
  <c r="E90" i="2"/>
  <c r="D90" i="2"/>
  <c r="C90" i="2"/>
  <c r="L89" i="2"/>
  <c r="K89" i="2"/>
  <c r="J89" i="2"/>
  <c r="I89" i="2"/>
  <c r="H89" i="2"/>
  <c r="G89" i="2"/>
  <c r="F89" i="2"/>
  <c r="E89" i="2"/>
  <c r="D89" i="2"/>
  <c r="C89" i="2"/>
  <c r="L88" i="2"/>
  <c r="K88" i="2"/>
  <c r="J88" i="2"/>
  <c r="I88" i="2"/>
  <c r="H88" i="2"/>
  <c r="G88" i="2"/>
  <c r="F88" i="2"/>
  <c r="E88" i="2"/>
  <c r="D88" i="2"/>
  <c r="C88" i="2"/>
  <c r="L87" i="2"/>
  <c r="K87" i="2"/>
  <c r="J87" i="2"/>
  <c r="I87" i="2"/>
  <c r="H87" i="2"/>
  <c r="G87" i="2"/>
  <c r="F87" i="2"/>
  <c r="E87" i="2"/>
  <c r="D87" i="2"/>
  <c r="C87" i="2"/>
  <c r="L86" i="2"/>
  <c r="K86" i="2"/>
  <c r="J86" i="2"/>
  <c r="I86" i="2"/>
  <c r="H86" i="2"/>
  <c r="G86" i="2"/>
  <c r="F86" i="2"/>
  <c r="E86" i="2"/>
  <c r="D86" i="2"/>
  <c r="C86" i="2"/>
  <c r="L85" i="2"/>
  <c r="K85" i="2"/>
  <c r="J85" i="2"/>
  <c r="I85" i="2"/>
  <c r="H85" i="2"/>
  <c r="G85" i="2"/>
  <c r="F85" i="2"/>
  <c r="E85" i="2"/>
  <c r="D85" i="2"/>
  <c r="C85" i="2"/>
  <c r="L84" i="2"/>
  <c r="K84" i="2"/>
  <c r="J84" i="2"/>
  <c r="I84" i="2"/>
  <c r="H84" i="2"/>
  <c r="G84" i="2"/>
  <c r="F84" i="2"/>
  <c r="E84" i="2"/>
  <c r="D84" i="2"/>
  <c r="C84" i="2"/>
  <c r="L83" i="2"/>
  <c r="K83" i="2"/>
  <c r="J83" i="2"/>
  <c r="I83" i="2"/>
  <c r="H83" i="2"/>
  <c r="G83" i="2"/>
  <c r="F83" i="2"/>
  <c r="E83" i="2"/>
  <c r="D83" i="2"/>
  <c r="C83" i="2"/>
  <c r="L82" i="2"/>
  <c r="K82" i="2"/>
  <c r="J82" i="2"/>
  <c r="I82" i="2"/>
  <c r="H82" i="2"/>
  <c r="G82" i="2"/>
  <c r="F82" i="2"/>
  <c r="E82" i="2"/>
  <c r="D82" i="2"/>
  <c r="C82" i="2"/>
  <c r="L81" i="2"/>
  <c r="K81" i="2"/>
  <c r="J81" i="2"/>
  <c r="I81" i="2"/>
  <c r="H81" i="2"/>
  <c r="G81" i="2"/>
  <c r="F81" i="2"/>
  <c r="E81" i="2"/>
  <c r="D81" i="2"/>
  <c r="C81" i="2"/>
  <c r="L80" i="2"/>
  <c r="K80" i="2"/>
  <c r="J80" i="2"/>
  <c r="I80" i="2"/>
  <c r="H80" i="2"/>
  <c r="G80" i="2"/>
  <c r="F80" i="2"/>
  <c r="E80" i="2"/>
  <c r="D80" i="2"/>
  <c r="C80" i="2"/>
  <c r="L79" i="2"/>
  <c r="K79" i="2"/>
  <c r="J79" i="2"/>
  <c r="I79" i="2"/>
  <c r="H79" i="2"/>
  <c r="G79" i="2"/>
  <c r="F79" i="2"/>
  <c r="E79" i="2"/>
  <c r="D79" i="2"/>
  <c r="C79" i="2"/>
  <c r="L78" i="2"/>
  <c r="K78" i="2"/>
  <c r="J78" i="2"/>
  <c r="I78" i="2"/>
  <c r="H78" i="2"/>
  <c r="G78" i="2"/>
  <c r="F78" i="2"/>
  <c r="E78" i="2"/>
  <c r="D78" i="2"/>
  <c r="C78" i="2"/>
  <c r="L77" i="2"/>
  <c r="K77" i="2"/>
  <c r="J77" i="2"/>
  <c r="I77" i="2"/>
  <c r="H77" i="2"/>
  <c r="G77" i="2"/>
  <c r="F77" i="2"/>
  <c r="E77" i="2"/>
  <c r="D77" i="2"/>
  <c r="C77" i="2"/>
  <c r="L76" i="2"/>
  <c r="K76" i="2"/>
  <c r="J76" i="2"/>
  <c r="I76" i="2"/>
  <c r="H76" i="2"/>
  <c r="G76" i="2"/>
  <c r="F76" i="2"/>
  <c r="E76" i="2"/>
  <c r="D76" i="2"/>
  <c r="C76" i="2"/>
  <c r="L75" i="2"/>
  <c r="K75" i="2"/>
  <c r="J75" i="2"/>
  <c r="I75" i="2"/>
  <c r="H75" i="2"/>
  <c r="G75" i="2"/>
  <c r="F75" i="2"/>
  <c r="E75" i="2"/>
  <c r="D75" i="2"/>
  <c r="C75" i="2"/>
  <c r="L74" i="2"/>
  <c r="K74" i="2"/>
  <c r="J74" i="2"/>
  <c r="I74" i="2"/>
  <c r="H74" i="2"/>
  <c r="G74" i="2"/>
  <c r="F74" i="2"/>
  <c r="E74" i="2"/>
  <c r="D74" i="2"/>
  <c r="C74" i="2"/>
  <c r="L73" i="2"/>
  <c r="K73" i="2"/>
  <c r="J73" i="2"/>
  <c r="I73" i="2"/>
  <c r="H73" i="2"/>
  <c r="G73" i="2"/>
  <c r="F73" i="2"/>
  <c r="E73" i="2"/>
  <c r="D73" i="2"/>
  <c r="C73" i="2"/>
  <c r="L72" i="2"/>
  <c r="K72" i="2"/>
  <c r="J72" i="2"/>
  <c r="I72" i="2"/>
  <c r="H72" i="2"/>
  <c r="G72" i="2"/>
  <c r="F72" i="2"/>
  <c r="E72" i="2"/>
  <c r="D72" i="2"/>
  <c r="C72" i="2"/>
  <c r="L71" i="2"/>
  <c r="K71" i="2"/>
  <c r="J71" i="2"/>
  <c r="I71" i="2"/>
  <c r="H71" i="2"/>
  <c r="G71" i="2"/>
  <c r="F71" i="2"/>
  <c r="E71" i="2"/>
  <c r="D71" i="2"/>
  <c r="C71" i="2"/>
  <c r="L70" i="2"/>
  <c r="K70" i="2"/>
  <c r="J70" i="2"/>
  <c r="I70" i="2"/>
  <c r="H70" i="2"/>
  <c r="G70" i="2"/>
  <c r="F70" i="2"/>
  <c r="E70" i="2"/>
  <c r="D70" i="2"/>
  <c r="C70" i="2"/>
  <c r="L69" i="2"/>
  <c r="K69" i="2"/>
  <c r="J69" i="2"/>
  <c r="I69" i="2"/>
  <c r="H69" i="2"/>
  <c r="G69" i="2"/>
  <c r="F69" i="2"/>
  <c r="E69" i="2"/>
  <c r="D69" i="2"/>
  <c r="C69" i="2"/>
  <c r="L68" i="2"/>
  <c r="K68" i="2"/>
  <c r="J68" i="2"/>
  <c r="I68" i="2"/>
  <c r="H68" i="2"/>
  <c r="G68" i="2"/>
  <c r="F68" i="2"/>
  <c r="E68" i="2"/>
  <c r="D68" i="2"/>
  <c r="C68" i="2"/>
  <c r="L67" i="2"/>
  <c r="K67" i="2"/>
  <c r="J67" i="2"/>
  <c r="I67" i="2"/>
  <c r="H67" i="2"/>
  <c r="G67" i="2"/>
  <c r="F67" i="2"/>
  <c r="E67" i="2"/>
  <c r="D67" i="2"/>
  <c r="C67" i="2"/>
  <c r="L66" i="2"/>
  <c r="K66" i="2"/>
  <c r="J66" i="2"/>
  <c r="I66" i="2"/>
  <c r="H66" i="2"/>
  <c r="G66" i="2"/>
  <c r="F66" i="2"/>
  <c r="E66" i="2"/>
  <c r="D66" i="2"/>
  <c r="C66" i="2"/>
  <c r="L65" i="2"/>
  <c r="K65" i="2"/>
  <c r="J65" i="2"/>
  <c r="I65" i="2"/>
  <c r="H65" i="2"/>
  <c r="G65" i="2"/>
  <c r="F65" i="2"/>
  <c r="E65" i="2"/>
  <c r="D65" i="2"/>
  <c r="C65" i="2"/>
  <c r="L64" i="2"/>
  <c r="K64" i="2"/>
  <c r="J64" i="2"/>
  <c r="I64" i="2"/>
  <c r="H64" i="2"/>
  <c r="G64" i="2"/>
  <c r="F64" i="2"/>
  <c r="E64" i="2"/>
  <c r="D64" i="2"/>
  <c r="C64" i="2"/>
  <c r="L63" i="2"/>
  <c r="K63" i="2"/>
  <c r="J63" i="2"/>
  <c r="I63" i="2"/>
  <c r="H63" i="2"/>
  <c r="G63" i="2"/>
  <c r="F63" i="2"/>
  <c r="E63" i="2"/>
  <c r="D63" i="2"/>
  <c r="C63" i="2"/>
  <c r="L62" i="2"/>
  <c r="K62" i="2"/>
  <c r="J62" i="2"/>
  <c r="I62" i="2"/>
  <c r="H62" i="2"/>
  <c r="G62" i="2"/>
  <c r="F62" i="2"/>
  <c r="E62" i="2"/>
  <c r="D62" i="2"/>
  <c r="C62" i="2"/>
  <c r="L61" i="2"/>
  <c r="K61" i="2"/>
  <c r="J61" i="2"/>
  <c r="I61" i="2"/>
  <c r="H61" i="2"/>
  <c r="G61" i="2"/>
  <c r="F61" i="2"/>
  <c r="E61" i="2"/>
  <c r="D61" i="2"/>
  <c r="C61" i="2"/>
  <c r="L60" i="2"/>
  <c r="K60" i="2"/>
  <c r="J60" i="2"/>
  <c r="I60" i="2"/>
  <c r="H60" i="2"/>
  <c r="G60" i="2"/>
  <c r="F60" i="2"/>
  <c r="E60" i="2"/>
  <c r="D60" i="2"/>
  <c r="C60" i="2"/>
  <c r="L59" i="2"/>
  <c r="K59" i="2"/>
  <c r="J59" i="2"/>
  <c r="I59" i="2"/>
  <c r="H59" i="2"/>
  <c r="G59" i="2"/>
  <c r="F59" i="2"/>
  <c r="E59" i="2"/>
  <c r="D59" i="2"/>
  <c r="C59" i="2"/>
  <c r="L58" i="2"/>
  <c r="K58" i="2"/>
  <c r="J58" i="2"/>
  <c r="I58" i="2"/>
  <c r="H58" i="2"/>
  <c r="G58" i="2"/>
  <c r="F58" i="2"/>
  <c r="E58" i="2"/>
  <c r="D58" i="2"/>
  <c r="C58" i="2"/>
  <c r="L57" i="2"/>
  <c r="K57" i="2"/>
  <c r="J57" i="2"/>
  <c r="I57" i="2"/>
  <c r="H57" i="2"/>
  <c r="G57" i="2"/>
  <c r="F57" i="2"/>
  <c r="E57" i="2"/>
  <c r="D57" i="2"/>
  <c r="C57" i="2"/>
  <c r="L56" i="2"/>
  <c r="K56" i="2"/>
  <c r="J56" i="2"/>
  <c r="I56" i="2"/>
  <c r="H56" i="2"/>
  <c r="G56" i="2"/>
  <c r="F56" i="2"/>
  <c r="E56" i="2"/>
  <c r="D56" i="2"/>
  <c r="C56" i="2"/>
  <c r="L55" i="2"/>
  <c r="K55" i="2"/>
  <c r="J55" i="2"/>
  <c r="I55" i="2"/>
  <c r="H55" i="2"/>
  <c r="G55" i="2"/>
  <c r="F55" i="2"/>
  <c r="E55" i="2"/>
  <c r="D55" i="2"/>
  <c r="C55" i="2"/>
  <c r="L54" i="2"/>
  <c r="K54" i="2"/>
  <c r="J54" i="2"/>
  <c r="I54" i="2"/>
  <c r="H54" i="2"/>
  <c r="G54" i="2"/>
  <c r="F54" i="2"/>
  <c r="E54" i="2"/>
  <c r="D54" i="2"/>
  <c r="C54" i="2"/>
  <c r="L53" i="2"/>
  <c r="K53" i="2"/>
  <c r="J53" i="2"/>
  <c r="I53" i="2"/>
  <c r="H53" i="2"/>
  <c r="G53" i="2"/>
  <c r="F53" i="2"/>
  <c r="E53" i="2"/>
  <c r="D53" i="2"/>
  <c r="C53" i="2"/>
  <c r="L52" i="2"/>
  <c r="K52" i="2"/>
  <c r="J52" i="2"/>
  <c r="I52" i="2"/>
  <c r="H52" i="2"/>
  <c r="G52" i="2"/>
  <c r="F52" i="2"/>
  <c r="E52" i="2"/>
  <c r="D52" i="2"/>
  <c r="C52" i="2"/>
  <c r="L51" i="2"/>
  <c r="K51" i="2"/>
  <c r="J51" i="2"/>
  <c r="I51" i="2"/>
  <c r="H51" i="2"/>
  <c r="G51" i="2"/>
  <c r="F51" i="2"/>
  <c r="E51" i="2"/>
  <c r="D51" i="2"/>
  <c r="C51" i="2"/>
  <c r="L50" i="2"/>
  <c r="K50" i="2"/>
  <c r="J50" i="2"/>
  <c r="I50" i="2"/>
  <c r="H50" i="2"/>
  <c r="G50" i="2"/>
  <c r="F50" i="2"/>
  <c r="E50" i="2"/>
  <c r="D50" i="2"/>
  <c r="C50" i="2"/>
  <c r="L49" i="2"/>
  <c r="K49" i="2"/>
  <c r="J49" i="2"/>
  <c r="I49" i="2"/>
  <c r="H49" i="2"/>
  <c r="G49" i="2"/>
  <c r="F49" i="2"/>
  <c r="E49" i="2"/>
  <c r="D49" i="2"/>
  <c r="C49" i="2"/>
  <c r="L48" i="2"/>
  <c r="K48" i="2"/>
  <c r="J48" i="2"/>
  <c r="I48" i="2"/>
  <c r="H48" i="2"/>
  <c r="G48" i="2"/>
  <c r="F48" i="2"/>
  <c r="E48" i="2"/>
  <c r="D48" i="2"/>
  <c r="C48" i="2"/>
  <c r="L47" i="2"/>
  <c r="K47" i="2"/>
  <c r="J47" i="2"/>
  <c r="I47" i="2"/>
  <c r="H47" i="2"/>
  <c r="G47" i="2"/>
  <c r="F47" i="2"/>
  <c r="E47" i="2"/>
  <c r="D47" i="2"/>
  <c r="C47" i="2"/>
  <c r="L46" i="2"/>
  <c r="K46" i="2"/>
  <c r="J46" i="2"/>
  <c r="I46" i="2"/>
  <c r="H46" i="2"/>
  <c r="G46" i="2"/>
  <c r="F46" i="2"/>
  <c r="E46" i="2"/>
  <c r="D46" i="2"/>
  <c r="C46" i="2"/>
  <c r="L45" i="2"/>
  <c r="K45" i="2"/>
  <c r="J45" i="2"/>
  <c r="I45" i="2"/>
  <c r="H45" i="2"/>
  <c r="G45" i="2"/>
  <c r="F45" i="2"/>
  <c r="E45" i="2"/>
  <c r="D45" i="2"/>
  <c r="C45" i="2"/>
  <c r="L44" i="2"/>
  <c r="K44" i="2"/>
  <c r="J44" i="2"/>
  <c r="I44" i="2"/>
  <c r="H44" i="2"/>
  <c r="G44" i="2"/>
  <c r="F44" i="2"/>
  <c r="E44" i="2"/>
  <c r="D44" i="2"/>
  <c r="C44" i="2"/>
  <c r="L43" i="2"/>
  <c r="K43" i="2"/>
  <c r="J43" i="2"/>
  <c r="I43" i="2"/>
  <c r="H43" i="2"/>
  <c r="G43" i="2"/>
  <c r="F43" i="2"/>
  <c r="E43" i="2"/>
  <c r="D43" i="2"/>
  <c r="C43" i="2"/>
  <c r="L42" i="2"/>
  <c r="K42" i="2"/>
  <c r="J42" i="2"/>
  <c r="I42" i="2"/>
  <c r="H42" i="2"/>
  <c r="G42" i="2"/>
  <c r="F42" i="2"/>
  <c r="E42" i="2"/>
  <c r="D42" i="2"/>
  <c r="C42" i="2"/>
  <c r="L41" i="2"/>
  <c r="K41" i="2"/>
  <c r="J41" i="2"/>
  <c r="I41" i="2"/>
  <c r="H41" i="2"/>
  <c r="G41" i="2"/>
  <c r="F41" i="2"/>
  <c r="E41" i="2"/>
  <c r="D41" i="2"/>
  <c r="C41" i="2"/>
  <c r="L40" i="2"/>
  <c r="K40" i="2"/>
  <c r="J40" i="2"/>
  <c r="I40" i="2"/>
  <c r="H40" i="2"/>
  <c r="G40" i="2"/>
  <c r="F40" i="2"/>
  <c r="E40" i="2"/>
  <c r="D40" i="2"/>
  <c r="C40" i="2"/>
  <c r="L39" i="2"/>
  <c r="K39" i="2"/>
  <c r="J39" i="2"/>
  <c r="I39" i="2"/>
  <c r="H39" i="2"/>
  <c r="G39" i="2"/>
  <c r="F39" i="2"/>
  <c r="E39" i="2"/>
  <c r="D39" i="2"/>
  <c r="C39" i="2"/>
  <c r="L38" i="2"/>
  <c r="K38" i="2"/>
  <c r="J38" i="2"/>
  <c r="I38" i="2"/>
  <c r="H38" i="2"/>
  <c r="G38" i="2"/>
  <c r="F38" i="2"/>
  <c r="E38" i="2"/>
  <c r="D38" i="2"/>
  <c r="C38" i="2"/>
  <c r="L37" i="2"/>
  <c r="K37" i="2"/>
  <c r="J37" i="2"/>
  <c r="I37" i="2"/>
  <c r="H37" i="2"/>
  <c r="G37" i="2"/>
  <c r="F37" i="2"/>
  <c r="E37" i="2"/>
  <c r="D37" i="2"/>
  <c r="C37" i="2"/>
  <c r="L36" i="2"/>
  <c r="K36" i="2"/>
  <c r="J36" i="2"/>
  <c r="I36" i="2"/>
  <c r="H36" i="2"/>
  <c r="G36" i="2"/>
  <c r="F36" i="2"/>
  <c r="E36" i="2"/>
  <c r="D36" i="2"/>
  <c r="C36" i="2"/>
  <c r="L35" i="2"/>
  <c r="K35" i="2"/>
  <c r="J35" i="2"/>
  <c r="I35" i="2"/>
  <c r="H35" i="2"/>
  <c r="G35" i="2"/>
  <c r="F35" i="2"/>
  <c r="E35" i="2"/>
  <c r="D35" i="2"/>
  <c r="C35" i="2"/>
  <c r="L34" i="2"/>
  <c r="K34" i="2"/>
  <c r="J34" i="2"/>
  <c r="I34" i="2"/>
  <c r="H34" i="2"/>
  <c r="G34" i="2"/>
  <c r="F34" i="2"/>
  <c r="E34" i="2"/>
  <c r="D34" i="2"/>
  <c r="C34" i="2"/>
  <c r="L33" i="2"/>
  <c r="K33" i="2"/>
  <c r="J33" i="2"/>
  <c r="I33" i="2"/>
  <c r="H33" i="2"/>
  <c r="G33" i="2"/>
  <c r="F33" i="2"/>
  <c r="E33" i="2"/>
  <c r="D33" i="2"/>
  <c r="C33" i="2"/>
  <c r="L32" i="2"/>
  <c r="K32" i="2"/>
  <c r="J32" i="2"/>
  <c r="I32" i="2"/>
  <c r="H32" i="2"/>
  <c r="G32" i="2"/>
  <c r="F32" i="2"/>
  <c r="E32" i="2"/>
  <c r="D32" i="2"/>
  <c r="C32" i="2"/>
  <c r="L31" i="2"/>
  <c r="K31" i="2"/>
  <c r="J31" i="2"/>
  <c r="I31" i="2"/>
  <c r="H31" i="2"/>
  <c r="G31" i="2"/>
  <c r="F31" i="2"/>
  <c r="E31" i="2"/>
  <c r="D31" i="2"/>
  <c r="C31" i="2"/>
  <c r="L30" i="2"/>
  <c r="K30" i="2"/>
  <c r="J30" i="2"/>
  <c r="I30" i="2"/>
  <c r="H30" i="2"/>
  <c r="G30" i="2"/>
  <c r="F30" i="2"/>
  <c r="E30" i="2"/>
  <c r="D30" i="2"/>
  <c r="C30" i="2"/>
  <c r="L29" i="2"/>
  <c r="K29" i="2"/>
  <c r="J29" i="2"/>
  <c r="I29" i="2"/>
  <c r="H29" i="2"/>
  <c r="G29" i="2"/>
  <c r="F29" i="2"/>
  <c r="E29" i="2"/>
  <c r="D29" i="2"/>
  <c r="C29" i="2"/>
  <c r="L28" i="2"/>
  <c r="K28" i="2"/>
  <c r="J28" i="2"/>
  <c r="I28" i="2"/>
  <c r="H28" i="2"/>
  <c r="G28" i="2"/>
  <c r="F28" i="2"/>
  <c r="E28" i="2"/>
  <c r="D28" i="2"/>
  <c r="C28" i="2"/>
  <c r="L27" i="2"/>
  <c r="K27" i="2"/>
  <c r="J27" i="2"/>
  <c r="I27" i="2"/>
  <c r="H27" i="2"/>
  <c r="G27" i="2"/>
  <c r="F27" i="2"/>
  <c r="E27" i="2"/>
  <c r="D27" i="2"/>
  <c r="C27" i="2"/>
  <c r="L26" i="2"/>
  <c r="K26" i="2"/>
  <c r="J26" i="2"/>
  <c r="I26" i="2"/>
  <c r="H26" i="2"/>
  <c r="G26" i="2"/>
  <c r="F26" i="2"/>
  <c r="D26" i="2"/>
  <c r="C26" i="2"/>
  <c r="L25" i="2"/>
  <c r="K25" i="2"/>
  <c r="J25" i="2"/>
  <c r="I25" i="2"/>
  <c r="H25" i="2"/>
  <c r="G25" i="2"/>
  <c r="F25" i="2"/>
  <c r="D25" i="2"/>
  <c r="C25" i="2"/>
  <c r="L24" i="2"/>
  <c r="K24" i="2"/>
  <c r="J24" i="2"/>
  <c r="I24" i="2"/>
  <c r="H24" i="2"/>
  <c r="G24" i="2"/>
  <c r="F24" i="2"/>
  <c r="D24" i="2"/>
  <c r="C24" i="2"/>
  <c r="L23" i="2"/>
  <c r="K23" i="2"/>
  <c r="J23" i="2"/>
  <c r="I23" i="2"/>
  <c r="H23" i="2"/>
  <c r="G23" i="2"/>
  <c r="F23" i="2"/>
  <c r="D23" i="2"/>
  <c r="C23" i="2"/>
  <c r="L22" i="2"/>
  <c r="K22" i="2"/>
  <c r="J22" i="2"/>
  <c r="I22" i="2"/>
  <c r="H22" i="2"/>
  <c r="G22" i="2"/>
  <c r="F22" i="2"/>
  <c r="D22" i="2"/>
  <c r="C22" i="2"/>
  <c r="L21" i="2"/>
  <c r="K21" i="2"/>
  <c r="J21" i="2"/>
  <c r="I21" i="2"/>
  <c r="H21" i="2"/>
  <c r="G21" i="2"/>
  <c r="F21" i="2"/>
  <c r="D21" i="2"/>
  <c r="C21" i="2"/>
  <c r="L20" i="2"/>
  <c r="K20" i="2"/>
  <c r="J20" i="2"/>
  <c r="I20" i="2"/>
  <c r="H20" i="2"/>
  <c r="G20" i="2"/>
  <c r="F20" i="2"/>
  <c r="D20" i="2"/>
  <c r="C20" i="2"/>
  <c r="L19" i="2"/>
  <c r="K19" i="2"/>
  <c r="J19" i="2"/>
  <c r="I19" i="2"/>
  <c r="H19" i="2"/>
  <c r="G19" i="2"/>
  <c r="F19" i="2"/>
  <c r="D19" i="2"/>
  <c r="C19" i="2"/>
  <c r="L18" i="2"/>
  <c r="K18" i="2"/>
  <c r="J18" i="2"/>
  <c r="I18" i="2"/>
  <c r="H18" i="2"/>
  <c r="G18" i="2"/>
  <c r="F18" i="2"/>
  <c r="D18" i="2"/>
  <c r="C18" i="2"/>
  <c r="L17" i="2"/>
  <c r="K17" i="2"/>
  <c r="J17" i="2"/>
  <c r="I17" i="2"/>
  <c r="H17" i="2"/>
  <c r="G17" i="2"/>
  <c r="F17" i="2"/>
  <c r="D17" i="2"/>
  <c r="C17" i="2"/>
  <c r="L16" i="2"/>
  <c r="K16" i="2"/>
  <c r="J16" i="2"/>
  <c r="I16" i="2"/>
  <c r="H16" i="2"/>
  <c r="G16" i="2"/>
  <c r="F16" i="2"/>
  <c r="D16" i="2"/>
  <c r="C16" i="2"/>
  <c r="L15" i="2"/>
  <c r="K15" i="2"/>
  <c r="J15" i="2"/>
  <c r="I15" i="2"/>
  <c r="H15" i="2"/>
  <c r="G15" i="2"/>
  <c r="F15" i="2"/>
  <c r="D15" i="2"/>
  <c r="C15" i="2"/>
  <c r="L14" i="2"/>
  <c r="K14" i="2"/>
  <c r="J14" i="2"/>
  <c r="I14" i="2"/>
  <c r="H14" i="2"/>
  <c r="G14" i="2"/>
  <c r="F14" i="2"/>
  <c r="D14" i="2"/>
  <c r="C14" i="2"/>
  <c r="L13" i="2"/>
  <c r="K13" i="2"/>
  <c r="J13" i="2"/>
  <c r="I13" i="2"/>
  <c r="H13" i="2"/>
  <c r="G13" i="2"/>
  <c r="F13" i="2"/>
  <c r="D13" i="2"/>
  <c r="C13" i="2"/>
  <c r="L12" i="2"/>
  <c r="K12" i="2"/>
  <c r="J12" i="2"/>
  <c r="I12" i="2"/>
  <c r="H12" i="2"/>
  <c r="G12" i="2"/>
  <c r="F12" i="2"/>
  <c r="D12" i="2"/>
  <c r="C12" i="2"/>
  <c r="L11" i="2"/>
  <c r="K11" i="2"/>
  <c r="J11" i="2"/>
  <c r="I11" i="2"/>
  <c r="H11" i="2"/>
  <c r="G11" i="2"/>
  <c r="F11" i="2"/>
  <c r="D11" i="2"/>
  <c r="C11" i="2"/>
  <c r="L10" i="2"/>
  <c r="K10" i="2"/>
  <c r="J10" i="2"/>
  <c r="I10" i="2"/>
  <c r="H10" i="2"/>
  <c r="G10" i="2"/>
  <c r="F10" i="2"/>
  <c r="D10" i="2"/>
  <c r="C10" i="2"/>
  <c r="L9" i="2"/>
  <c r="K9" i="2"/>
  <c r="J9" i="2"/>
  <c r="I9" i="2"/>
  <c r="H9" i="2"/>
  <c r="G9" i="2"/>
  <c r="F9" i="2"/>
  <c r="D9" i="2"/>
  <c r="C9" i="2"/>
  <c r="L196" i="1"/>
  <c r="K196" i="1"/>
  <c r="J196" i="1"/>
  <c r="I196" i="1"/>
  <c r="H196" i="1"/>
  <c r="G196" i="1"/>
  <c r="F196" i="1"/>
  <c r="E196" i="1"/>
  <c r="D196" i="1"/>
  <c r="C196" i="1"/>
  <c r="L195" i="1"/>
  <c r="K195" i="1"/>
  <c r="J195" i="1"/>
  <c r="I195" i="1"/>
  <c r="H195" i="1"/>
  <c r="G195" i="1"/>
  <c r="F195" i="1"/>
  <c r="E195" i="1"/>
  <c r="D195" i="1"/>
  <c r="C195" i="1"/>
  <c r="L194" i="1"/>
  <c r="K194" i="1"/>
  <c r="J194" i="1"/>
  <c r="I194" i="1"/>
  <c r="H194" i="1"/>
  <c r="G194" i="1"/>
  <c r="F194" i="1"/>
  <c r="E194" i="1"/>
  <c r="D194" i="1"/>
  <c r="C194" i="1"/>
  <c r="L193" i="1"/>
  <c r="K193" i="1"/>
  <c r="J193" i="1"/>
  <c r="I193" i="1"/>
  <c r="H193" i="1"/>
  <c r="G193" i="1"/>
  <c r="F193" i="1"/>
  <c r="E193" i="1"/>
  <c r="D193" i="1"/>
  <c r="C193" i="1"/>
  <c r="L192" i="1"/>
  <c r="K192" i="1"/>
  <c r="J192" i="1"/>
  <c r="I192" i="1"/>
  <c r="H192" i="1"/>
  <c r="G192" i="1"/>
  <c r="F192" i="1"/>
  <c r="E192" i="1"/>
  <c r="D192" i="1"/>
  <c r="C192" i="1"/>
  <c r="L191" i="1"/>
  <c r="K191" i="1"/>
  <c r="J191" i="1"/>
  <c r="I191" i="1"/>
  <c r="H191" i="1"/>
  <c r="G191" i="1"/>
  <c r="F191" i="1"/>
  <c r="E191" i="1"/>
  <c r="D191" i="1"/>
  <c r="C191" i="1"/>
  <c r="L190" i="1"/>
  <c r="K190" i="1"/>
  <c r="J190" i="1"/>
  <c r="I190" i="1"/>
  <c r="H190" i="1"/>
  <c r="G190" i="1"/>
  <c r="F190" i="1"/>
  <c r="E190" i="1"/>
  <c r="D190" i="1"/>
  <c r="C190" i="1"/>
  <c r="L189" i="1"/>
  <c r="K189" i="1"/>
  <c r="J189" i="1"/>
  <c r="I189" i="1"/>
  <c r="H189" i="1"/>
  <c r="G189" i="1"/>
  <c r="F189" i="1"/>
  <c r="E189" i="1"/>
  <c r="D189" i="1"/>
  <c r="C189" i="1"/>
  <c r="L188" i="1"/>
  <c r="K188" i="1"/>
  <c r="J188" i="1"/>
  <c r="I188" i="1"/>
  <c r="H188" i="1"/>
  <c r="G188" i="1"/>
  <c r="F188" i="1"/>
  <c r="E188" i="1"/>
  <c r="D188" i="1"/>
  <c r="L187" i="1"/>
  <c r="K187" i="1"/>
  <c r="J187" i="1"/>
  <c r="I187" i="1"/>
  <c r="H187" i="1"/>
  <c r="G187" i="1"/>
  <c r="F187" i="1"/>
  <c r="E187" i="1"/>
  <c r="D187" i="1"/>
  <c r="L186" i="1"/>
  <c r="K186" i="1"/>
  <c r="J186" i="1"/>
  <c r="I186" i="1"/>
  <c r="H186" i="1"/>
  <c r="G186" i="1"/>
  <c r="F186" i="1"/>
  <c r="E186" i="1"/>
  <c r="D186" i="1"/>
  <c r="C186" i="1"/>
  <c r="L185" i="1"/>
  <c r="K185" i="1"/>
  <c r="J185" i="1"/>
  <c r="I185" i="1"/>
  <c r="H185" i="1"/>
  <c r="G185" i="1"/>
  <c r="F185" i="1"/>
  <c r="E185" i="1"/>
  <c r="D185" i="1"/>
  <c r="L184" i="1"/>
  <c r="K184" i="1"/>
  <c r="J184" i="1"/>
  <c r="I184" i="1"/>
  <c r="H184" i="1"/>
  <c r="G184" i="1"/>
  <c r="F184" i="1"/>
  <c r="E184" i="1"/>
  <c r="D184" i="1"/>
  <c r="L183" i="1"/>
  <c r="K183" i="1"/>
  <c r="J183" i="1"/>
  <c r="I183" i="1"/>
  <c r="H183" i="1"/>
  <c r="G183" i="1"/>
  <c r="F183" i="1"/>
  <c r="E183" i="1"/>
  <c r="D183" i="1"/>
  <c r="C183" i="1"/>
  <c r="L182" i="1"/>
  <c r="K182" i="1"/>
  <c r="J182" i="1"/>
  <c r="I182" i="1"/>
  <c r="H182" i="1"/>
  <c r="G182" i="1"/>
  <c r="F182" i="1"/>
  <c r="E182" i="1"/>
  <c r="D182" i="1"/>
  <c r="L181" i="1"/>
  <c r="K181" i="1"/>
  <c r="J181" i="1"/>
  <c r="I181" i="1"/>
  <c r="H181" i="1"/>
  <c r="G181" i="1"/>
  <c r="F181" i="1"/>
  <c r="E181" i="1"/>
  <c r="D181" i="1"/>
  <c r="C181" i="1"/>
  <c r="L180" i="1"/>
  <c r="K180" i="1"/>
  <c r="J180" i="1"/>
  <c r="I180" i="1"/>
  <c r="H180" i="1"/>
  <c r="G180" i="1"/>
  <c r="F180" i="1"/>
  <c r="E180" i="1"/>
  <c r="D180" i="1"/>
  <c r="C180" i="1"/>
  <c r="L179" i="1"/>
  <c r="K179" i="1"/>
  <c r="J179" i="1"/>
  <c r="I179" i="1"/>
  <c r="H179" i="1"/>
  <c r="G179" i="1"/>
  <c r="F179" i="1"/>
  <c r="E179" i="1"/>
  <c r="D179" i="1"/>
  <c r="C179" i="1"/>
  <c r="L178" i="1"/>
  <c r="K178" i="1"/>
  <c r="J178" i="1"/>
  <c r="I178" i="1"/>
  <c r="H178" i="1"/>
  <c r="G178" i="1"/>
  <c r="F178" i="1"/>
  <c r="E178" i="1"/>
  <c r="D178" i="1"/>
  <c r="C178" i="1"/>
  <c r="L177" i="1"/>
  <c r="K177" i="1"/>
  <c r="J177" i="1"/>
  <c r="I177" i="1"/>
  <c r="H177" i="1"/>
  <c r="G177" i="1"/>
  <c r="F177" i="1"/>
  <c r="E177" i="1"/>
  <c r="D177" i="1"/>
  <c r="L176" i="1"/>
  <c r="K176" i="1"/>
  <c r="J176" i="1"/>
  <c r="I176" i="1"/>
  <c r="H176" i="1"/>
  <c r="G176" i="1"/>
  <c r="F176" i="1"/>
  <c r="E176" i="1"/>
  <c r="D176" i="1"/>
  <c r="L175" i="1"/>
  <c r="K175" i="1"/>
  <c r="J175" i="1"/>
  <c r="I175" i="1"/>
  <c r="H175" i="1"/>
  <c r="G175" i="1"/>
  <c r="F175" i="1"/>
  <c r="E175" i="1"/>
  <c r="D175" i="1"/>
  <c r="C175" i="1"/>
  <c r="L174" i="1"/>
  <c r="K174" i="1"/>
  <c r="J174" i="1"/>
  <c r="I174" i="1"/>
  <c r="H174" i="1"/>
  <c r="G174" i="1"/>
  <c r="F174" i="1"/>
  <c r="E174" i="1"/>
  <c r="D174" i="1"/>
  <c r="L173" i="1"/>
  <c r="K173" i="1"/>
  <c r="J173" i="1"/>
  <c r="I173" i="1"/>
  <c r="H173" i="1"/>
  <c r="G173" i="1"/>
  <c r="F173" i="1"/>
  <c r="E173" i="1"/>
  <c r="D173" i="1"/>
  <c r="C173" i="1"/>
  <c r="L172" i="1"/>
  <c r="K172" i="1"/>
  <c r="J172" i="1"/>
  <c r="I172" i="1"/>
  <c r="H172" i="1"/>
  <c r="G172" i="1"/>
  <c r="F172" i="1"/>
  <c r="E172" i="1"/>
  <c r="D172" i="1"/>
  <c r="C172" i="1"/>
  <c r="L171" i="1"/>
  <c r="K171" i="1"/>
  <c r="J171" i="1"/>
  <c r="I171" i="1"/>
  <c r="H171" i="1"/>
  <c r="G171" i="1"/>
  <c r="F171" i="1"/>
  <c r="E171" i="1"/>
  <c r="D171" i="1"/>
  <c r="C171" i="1"/>
  <c r="L170" i="1"/>
  <c r="K170" i="1"/>
  <c r="J170" i="1"/>
  <c r="I170" i="1"/>
  <c r="H170" i="1"/>
  <c r="G170" i="1"/>
  <c r="F170" i="1"/>
  <c r="E170" i="1"/>
  <c r="D170" i="1"/>
  <c r="C170" i="1"/>
  <c r="L169" i="1"/>
  <c r="K169" i="1"/>
  <c r="J169" i="1"/>
  <c r="I169" i="1"/>
  <c r="H169" i="1"/>
  <c r="G169" i="1"/>
  <c r="F169" i="1"/>
  <c r="E169" i="1"/>
  <c r="D169" i="1"/>
  <c r="L168" i="1"/>
  <c r="K168" i="1"/>
  <c r="J168" i="1"/>
  <c r="I168" i="1"/>
  <c r="H168" i="1"/>
  <c r="G168" i="1"/>
  <c r="F168" i="1"/>
  <c r="E168" i="1"/>
  <c r="D168" i="1"/>
  <c r="C168" i="1"/>
  <c r="L167" i="1"/>
  <c r="K167" i="1"/>
  <c r="J167" i="1"/>
  <c r="I167" i="1"/>
  <c r="H167" i="1"/>
  <c r="G167" i="1"/>
  <c r="F167" i="1"/>
  <c r="E167" i="1"/>
  <c r="D167" i="1"/>
  <c r="L166" i="1"/>
  <c r="K166" i="1"/>
  <c r="J166" i="1"/>
  <c r="I166" i="1"/>
  <c r="H166" i="1"/>
  <c r="G166" i="1"/>
  <c r="F166" i="1"/>
  <c r="E166" i="1"/>
  <c r="D166" i="1"/>
  <c r="C166" i="1"/>
  <c r="L165" i="1"/>
  <c r="K165" i="1"/>
  <c r="J165" i="1"/>
  <c r="I165" i="1"/>
  <c r="H165" i="1"/>
  <c r="G165" i="1"/>
  <c r="F165" i="1"/>
  <c r="E165" i="1"/>
  <c r="D165" i="1"/>
  <c r="C165" i="1"/>
  <c r="L164" i="1"/>
  <c r="K164" i="1"/>
  <c r="J164" i="1"/>
  <c r="I164" i="1"/>
  <c r="H164" i="1"/>
  <c r="G164" i="1"/>
  <c r="F164" i="1"/>
  <c r="E164" i="1"/>
  <c r="D164" i="1"/>
  <c r="C164" i="1"/>
  <c r="L163" i="1"/>
  <c r="K163" i="1"/>
  <c r="J163" i="1"/>
  <c r="I163" i="1"/>
  <c r="H163" i="1"/>
  <c r="G163" i="1"/>
  <c r="F163" i="1"/>
  <c r="E163" i="1"/>
  <c r="D163" i="1"/>
  <c r="C163" i="1"/>
  <c r="L162" i="1"/>
  <c r="K162" i="1"/>
  <c r="J162" i="1"/>
  <c r="I162" i="1"/>
  <c r="H162" i="1"/>
  <c r="G162" i="1"/>
  <c r="F162" i="1"/>
  <c r="E162" i="1"/>
  <c r="D162" i="1"/>
  <c r="C162" i="1"/>
  <c r="L161" i="1"/>
  <c r="K161" i="1"/>
  <c r="J161" i="1"/>
  <c r="I161" i="1"/>
  <c r="H161" i="1"/>
  <c r="G161" i="1"/>
  <c r="F161" i="1"/>
  <c r="E161" i="1"/>
  <c r="D161" i="1"/>
  <c r="C161" i="1"/>
  <c r="L160" i="1"/>
  <c r="K160" i="1"/>
  <c r="J160" i="1"/>
  <c r="I160" i="1"/>
  <c r="H160" i="1"/>
  <c r="G160" i="1"/>
  <c r="F160" i="1"/>
  <c r="E160" i="1"/>
  <c r="D160" i="1"/>
  <c r="C160" i="1"/>
  <c r="L159" i="1"/>
  <c r="K159" i="1"/>
  <c r="J159" i="1"/>
  <c r="I159" i="1"/>
  <c r="H159" i="1"/>
  <c r="G159" i="1"/>
  <c r="F159" i="1"/>
  <c r="E159" i="1"/>
  <c r="D159" i="1"/>
  <c r="L158" i="1"/>
  <c r="K158" i="1"/>
  <c r="J158" i="1"/>
  <c r="I158" i="1"/>
  <c r="H158" i="1"/>
  <c r="G158" i="1"/>
  <c r="F158" i="1"/>
  <c r="E158" i="1"/>
  <c r="D158" i="1"/>
  <c r="C158" i="1"/>
  <c r="L157" i="1"/>
  <c r="K157" i="1"/>
  <c r="J157" i="1"/>
  <c r="I157" i="1"/>
  <c r="H157" i="1"/>
  <c r="G157" i="1"/>
  <c r="F157" i="1"/>
  <c r="E157" i="1"/>
  <c r="D157" i="1"/>
  <c r="C157" i="1"/>
  <c r="L156" i="1"/>
  <c r="K156" i="1"/>
  <c r="J156" i="1"/>
  <c r="I156" i="1"/>
  <c r="H156" i="1"/>
  <c r="G156" i="1"/>
  <c r="F156" i="1"/>
  <c r="E156" i="1"/>
  <c r="D156" i="1"/>
  <c r="C156" i="1"/>
  <c r="L155" i="1"/>
  <c r="K155" i="1"/>
  <c r="J155" i="1"/>
  <c r="I155" i="1"/>
  <c r="H155" i="1"/>
  <c r="G155" i="1"/>
  <c r="F155" i="1"/>
  <c r="E155" i="1"/>
  <c r="D155" i="1"/>
  <c r="C155" i="1"/>
  <c r="L154" i="1"/>
  <c r="K154" i="1"/>
  <c r="J154" i="1"/>
  <c r="I154" i="1"/>
  <c r="H154" i="1"/>
  <c r="G154" i="1"/>
  <c r="F154" i="1"/>
  <c r="E154" i="1"/>
  <c r="D154" i="1"/>
  <c r="C154" i="1"/>
  <c r="L153" i="1"/>
  <c r="K153" i="1"/>
  <c r="J153" i="1"/>
  <c r="I153" i="1"/>
  <c r="H153" i="1"/>
  <c r="G153" i="1"/>
  <c r="F153" i="1"/>
  <c r="E153" i="1"/>
  <c r="D153" i="1"/>
  <c r="C153" i="1"/>
  <c r="L152" i="1"/>
  <c r="K152" i="1"/>
  <c r="J152" i="1"/>
  <c r="I152" i="1"/>
  <c r="H152" i="1"/>
  <c r="G152" i="1"/>
  <c r="F152" i="1"/>
  <c r="E152" i="1"/>
  <c r="D152" i="1"/>
  <c r="C152" i="1"/>
  <c r="L151" i="1"/>
  <c r="K151" i="1"/>
  <c r="J151" i="1"/>
  <c r="I151" i="1"/>
  <c r="H151" i="1"/>
  <c r="G151" i="1"/>
  <c r="F151" i="1"/>
  <c r="E151" i="1"/>
  <c r="D151" i="1"/>
  <c r="L150" i="1"/>
  <c r="K150" i="1"/>
  <c r="J150" i="1"/>
  <c r="I150" i="1"/>
  <c r="H150" i="1"/>
  <c r="G150" i="1"/>
  <c r="F150" i="1"/>
  <c r="E150" i="1"/>
  <c r="D150" i="1"/>
  <c r="L149" i="1"/>
  <c r="K149" i="1"/>
  <c r="J149" i="1"/>
  <c r="I149" i="1"/>
  <c r="H149" i="1"/>
  <c r="G149" i="1"/>
  <c r="F149" i="1"/>
  <c r="E149" i="1"/>
  <c r="D149" i="1"/>
  <c r="L148" i="1"/>
  <c r="K148" i="1"/>
  <c r="J148" i="1"/>
  <c r="I148" i="1"/>
  <c r="H148" i="1"/>
  <c r="G148" i="1"/>
  <c r="F148" i="1"/>
  <c r="E148" i="1"/>
  <c r="D148" i="1"/>
  <c r="L147" i="1"/>
  <c r="K147" i="1"/>
  <c r="J147" i="1"/>
  <c r="I147" i="1"/>
  <c r="H147" i="1"/>
  <c r="G147" i="1"/>
  <c r="F147" i="1"/>
  <c r="E147" i="1"/>
  <c r="D147" i="1"/>
  <c r="L146" i="1"/>
  <c r="K146" i="1"/>
  <c r="J146" i="1"/>
  <c r="I146" i="1"/>
  <c r="H146" i="1"/>
  <c r="G146" i="1"/>
  <c r="F146" i="1"/>
  <c r="E146" i="1"/>
  <c r="D146" i="1"/>
  <c r="C146" i="1"/>
  <c r="L145" i="1"/>
  <c r="K145" i="1"/>
  <c r="J145" i="1"/>
  <c r="I145" i="1"/>
  <c r="H145" i="1"/>
  <c r="G145" i="1"/>
  <c r="F145" i="1"/>
  <c r="E145" i="1"/>
  <c r="D145" i="1"/>
  <c r="C145" i="1"/>
  <c r="L144" i="1"/>
  <c r="K144" i="1"/>
  <c r="J144" i="1"/>
  <c r="I144" i="1"/>
  <c r="H144" i="1"/>
  <c r="G144" i="1"/>
  <c r="F144" i="1"/>
  <c r="E144" i="1"/>
  <c r="D144" i="1"/>
  <c r="C144" i="1"/>
  <c r="L143" i="1"/>
  <c r="K143" i="1"/>
  <c r="J143" i="1"/>
  <c r="I143" i="1"/>
  <c r="H143" i="1"/>
  <c r="G143" i="1"/>
  <c r="F143" i="1"/>
  <c r="E143" i="1"/>
  <c r="D143" i="1"/>
  <c r="C143" i="1"/>
  <c r="L142" i="1"/>
  <c r="K142" i="1"/>
  <c r="J142" i="1"/>
  <c r="I142" i="1"/>
  <c r="H142" i="1"/>
  <c r="G142" i="1"/>
  <c r="F142" i="1"/>
  <c r="E142" i="1"/>
  <c r="D142" i="1"/>
  <c r="L141" i="1"/>
  <c r="K141" i="1"/>
  <c r="J141" i="1"/>
  <c r="I141" i="1"/>
  <c r="H141" i="1"/>
  <c r="G141" i="1"/>
  <c r="F141" i="1"/>
  <c r="E141" i="1"/>
  <c r="D141" i="1"/>
  <c r="C141" i="1"/>
  <c r="L140" i="1"/>
  <c r="K140" i="1"/>
  <c r="J140" i="1"/>
  <c r="I140" i="1"/>
  <c r="H140" i="1"/>
  <c r="G140" i="1"/>
  <c r="F140" i="1"/>
  <c r="E140" i="1"/>
  <c r="D140" i="1"/>
  <c r="C140" i="1"/>
  <c r="L139" i="1"/>
  <c r="K139" i="1"/>
  <c r="J139" i="1"/>
  <c r="I139" i="1"/>
  <c r="H139" i="1"/>
  <c r="G139" i="1"/>
  <c r="F139" i="1"/>
  <c r="E139" i="1"/>
  <c r="D139" i="1"/>
  <c r="L138" i="1"/>
  <c r="K138" i="1"/>
  <c r="J138" i="1"/>
  <c r="I138" i="1"/>
  <c r="H138" i="1"/>
  <c r="G138" i="1"/>
  <c r="F138" i="1"/>
  <c r="E138" i="1"/>
  <c r="D138" i="1"/>
  <c r="C138" i="1"/>
  <c r="L137" i="1"/>
  <c r="K137" i="1"/>
  <c r="J137" i="1"/>
  <c r="I137" i="1"/>
  <c r="H137" i="1"/>
  <c r="G137" i="1"/>
  <c r="F137" i="1"/>
  <c r="E137" i="1"/>
  <c r="D137" i="1"/>
  <c r="C137" i="1"/>
  <c r="L136" i="1"/>
  <c r="K136" i="1"/>
  <c r="J136" i="1"/>
  <c r="I136" i="1"/>
  <c r="H136" i="1"/>
  <c r="G136" i="1"/>
  <c r="F136" i="1"/>
  <c r="E136" i="1"/>
  <c r="D136" i="1"/>
  <c r="C136" i="1"/>
  <c r="L135" i="1"/>
  <c r="K135" i="1"/>
  <c r="J135" i="1"/>
  <c r="I135" i="1"/>
  <c r="H135" i="1"/>
  <c r="G135" i="1"/>
  <c r="F135" i="1"/>
  <c r="E135" i="1"/>
  <c r="D135" i="1"/>
  <c r="C135" i="1"/>
  <c r="L134" i="1"/>
  <c r="K134" i="1"/>
  <c r="J134" i="1"/>
  <c r="I134" i="1"/>
  <c r="H134" i="1"/>
  <c r="G134" i="1"/>
  <c r="F134" i="1"/>
  <c r="E134" i="1"/>
  <c r="D134" i="1"/>
  <c r="C134" i="1"/>
  <c r="L133" i="1"/>
  <c r="K133" i="1"/>
  <c r="J133" i="1"/>
  <c r="I133" i="1"/>
  <c r="H133" i="1"/>
  <c r="G133" i="1"/>
  <c r="F133" i="1"/>
  <c r="E133" i="1"/>
  <c r="D133" i="1"/>
  <c r="C133" i="1"/>
  <c r="L132" i="1"/>
  <c r="K132" i="1"/>
  <c r="J132" i="1"/>
  <c r="I132" i="1"/>
  <c r="H132" i="1"/>
  <c r="G132" i="1"/>
  <c r="F132" i="1"/>
  <c r="E132" i="1"/>
  <c r="D132" i="1"/>
  <c r="C132" i="1"/>
  <c r="L131" i="1"/>
  <c r="K131" i="1"/>
  <c r="J131" i="1"/>
  <c r="I131" i="1"/>
  <c r="H131" i="1"/>
  <c r="G131" i="1"/>
  <c r="F131" i="1"/>
  <c r="E131" i="1"/>
  <c r="D131" i="1"/>
  <c r="C131" i="1"/>
  <c r="L130" i="1"/>
  <c r="K130" i="1"/>
  <c r="J130" i="1"/>
  <c r="I130" i="1"/>
  <c r="H130" i="1"/>
  <c r="G130" i="1"/>
  <c r="F130" i="1"/>
  <c r="E130" i="1"/>
  <c r="D130" i="1"/>
  <c r="C130" i="1"/>
  <c r="L129" i="1"/>
  <c r="K129" i="1"/>
  <c r="J129" i="1"/>
  <c r="I129" i="1"/>
  <c r="H129" i="1"/>
  <c r="G129" i="1"/>
  <c r="F129" i="1"/>
  <c r="E129" i="1"/>
  <c r="D129" i="1"/>
  <c r="C129" i="1"/>
  <c r="L128" i="1"/>
  <c r="K128" i="1"/>
  <c r="J128" i="1"/>
  <c r="I128" i="1"/>
  <c r="H128" i="1"/>
  <c r="G128" i="1"/>
  <c r="F128" i="1"/>
  <c r="E128" i="1"/>
  <c r="D128" i="1"/>
  <c r="C128" i="1"/>
  <c r="L127" i="1"/>
  <c r="K127" i="1"/>
  <c r="J127" i="1"/>
  <c r="I127" i="1"/>
  <c r="H127" i="1"/>
  <c r="G127" i="1"/>
  <c r="F127" i="1"/>
  <c r="E127" i="1"/>
  <c r="D127" i="1"/>
  <c r="C127" i="1"/>
  <c r="L126" i="1"/>
  <c r="K126" i="1"/>
  <c r="J126" i="1"/>
  <c r="I126" i="1"/>
  <c r="H126" i="1"/>
  <c r="G126" i="1"/>
  <c r="F126" i="1"/>
  <c r="E126" i="1"/>
  <c r="D126" i="1"/>
  <c r="C126" i="1"/>
  <c r="L125" i="1"/>
  <c r="K125" i="1"/>
  <c r="J125" i="1"/>
  <c r="I125" i="1"/>
  <c r="H125" i="1"/>
  <c r="G125" i="1"/>
  <c r="F125" i="1"/>
  <c r="E125" i="1"/>
  <c r="D125" i="1"/>
  <c r="C125" i="1"/>
  <c r="L124" i="1"/>
  <c r="K124" i="1"/>
  <c r="J124" i="1"/>
  <c r="I124" i="1"/>
  <c r="H124" i="1"/>
  <c r="G124" i="1"/>
  <c r="F124" i="1"/>
  <c r="E124" i="1"/>
  <c r="D124" i="1"/>
  <c r="C124" i="1"/>
  <c r="L123" i="1"/>
  <c r="K123" i="1"/>
  <c r="J123" i="1"/>
  <c r="I123" i="1"/>
  <c r="H123" i="1"/>
  <c r="G123" i="1"/>
  <c r="F123" i="1"/>
  <c r="E123" i="1"/>
  <c r="D123" i="1"/>
  <c r="C123" i="1"/>
  <c r="L122" i="1"/>
  <c r="K122" i="1"/>
  <c r="J122" i="1"/>
  <c r="I122" i="1"/>
  <c r="H122" i="1"/>
  <c r="G122" i="1"/>
  <c r="F122" i="1"/>
  <c r="E122" i="1"/>
  <c r="D122" i="1"/>
  <c r="C122" i="1"/>
  <c r="L121" i="1"/>
  <c r="K121" i="1"/>
  <c r="J121" i="1"/>
  <c r="I121" i="1"/>
  <c r="H121" i="1"/>
  <c r="G121" i="1"/>
  <c r="F121" i="1"/>
  <c r="E121" i="1"/>
  <c r="D121" i="1"/>
  <c r="C121" i="1"/>
  <c r="L120" i="1"/>
  <c r="K120" i="1"/>
  <c r="J120" i="1"/>
  <c r="I120" i="1"/>
  <c r="H120" i="1"/>
  <c r="G120" i="1"/>
  <c r="F120" i="1"/>
  <c r="E120" i="1"/>
  <c r="D120" i="1"/>
  <c r="C120" i="1"/>
  <c r="L119" i="1"/>
  <c r="K119" i="1"/>
  <c r="J119" i="1"/>
  <c r="I119" i="1"/>
  <c r="H119" i="1"/>
  <c r="G119" i="1"/>
  <c r="F119" i="1"/>
  <c r="E119" i="1"/>
  <c r="D119" i="1"/>
  <c r="C119" i="1"/>
  <c r="L118" i="1"/>
  <c r="K118" i="1"/>
  <c r="J118" i="1"/>
  <c r="I118" i="1"/>
  <c r="H118" i="1"/>
  <c r="G118" i="1"/>
  <c r="F118" i="1"/>
  <c r="E118" i="1"/>
  <c r="D118" i="1"/>
  <c r="C118" i="1"/>
  <c r="L117" i="1"/>
  <c r="K117" i="1"/>
  <c r="J117" i="1"/>
  <c r="I117" i="1"/>
  <c r="H117" i="1"/>
  <c r="G117" i="1"/>
  <c r="F117" i="1"/>
  <c r="E117" i="1"/>
  <c r="D117" i="1"/>
  <c r="C117" i="1"/>
  <c r="L116" i="1"/>
  <c r="K116" i="1"/>
  <c r="J116" i="1"/>
  <c r="I116" i="1"/>
  <c r="H116" i="1"/>
  <c r="G116" i="1"/>
  <c r="F116" i="1"/>
  <c r="E116" i="1"/>
  <c r="D116" i="1"/>
  <c r="C116" i="1"/>
  <c r="L115" i="1"/>
  <c r="K115" i="1"/>
  <c r="J115" i="1"/>
  <c r="I115" i="1"/>
  <c r="H115" i="1"/>
  <c r="G115" i="1"/>
  <c r="F115" i="1"/>
  <c r="E115" i="1"/>
  <c r="D115" i="1"/>
  <c r="C115" i="1"/>
  <c r="L114" i="1"/>
  <c r="K114" i="1"/>
  <c r="J114" i="1"/>
  <c r="I114" i="1"/>
  <c r="H114" i="1"/>
  <c r="G114" i="1"/>
  <c r="F114" i="1"/>
  <c r="E114" i="1"/>
  <c r="D114" i="1"/>
  <c r="C114" i="1"/>
  <c r="L113" i="1"/>
  <c r="K113" i="1"/>
  <c r="J113" i="1"/>
  <c r="I113" i="1"/>
  <c r="H113" i="1"/>
  <c r="G113" i="1"/>
  <c r="F113" i="1"/>
  <c r="E113" i="1"/>
  <c r="D113" i="1"/>
  <c r="C113" i="1"/>
  <c r="L112" i="1"/>
  <c r="K112" i="1"/>
  <c r="J112" i="1"/>
  <c r="I112" i="1"/>
  <c r="H112" i="1"/>
  <c r="G112" i="1"/>
  <c r="F112" i="1"/>
  <c r="E112" i="1"/>
  <c r="D112" i="1"/>
  <c r="L111" i="1"/>
  <c r="K111" i="1"/>
  <c r="J111" i="1"/>
  <c r="I111" i="1"/>
  <c r="H111" i="1"/>
  <c r="G111" i="1"/>
  <c r="F111" i="1"/>
  <c r="E111" i="1"/>
  <c r="D111" i="1"/>
  <c r="L110" i="1"/>
  <c r="K110" i="1"/>
  <c r="J110" i="1"/>
  <c r="I110" i="1"/>
  <c r="H110" i="1"/>
  <c r="G110" i="1"/>
  <c r="F110" i="1"/>
  <c r="E110" i="1"/>
  <c r="D110" i="1"/>
  <c r="L109" i="1"/>
  <c r="K109" i="1"/>
  <c r="J109" i="1"/>
  <c r="I109" i="1"/>
  <c r="H109" i="1"/>
  <c r="G109" i="1"/>
  <c r="F109" i="1"/>
  <c r="E109" i="1"/>
  <c r="D109" i="1"/>
  <c r="C109" i="1"/>
  <c r="L108" i="1"/>
  <c r="K108" i="1"/>
  <c r="J108" i="1"/>
  <c r="I108" i="1"/>
  <c r="H108" i="1"/>
  <c r="G108" i="1"/>
  <c r="F108" i="1"/>
  <c r="E108" i="1"/>
  <c r="D108" i="1"/>
  <c r="C108" i="1"/>
  <c r="L107" i="1"/>
  <c r="K107" i="1"/>
  <c r="J107" i="1"/>
  <c r="I107" i="1"/>
  <c r="H107" i="1"/>
  <c r="G107" i="1"/>
  <c r="F107" i="1"/>
  <c r="E107" i="1"/>
  <c r="D107" i="1"/>
  <c r="C107" i="1"/>
  <c r="L106" i="1"/>
  <c r="K106" i="1"/>
  <c r="J106" i="1"/>
  <c r="I106" i="1"/>
  <c r="H106" i="1"/>
  <c r="G106" i="1"/>
  <c r="F106" i="1"/>
  <c r="E106" i="1"/>
  <c r="D106" i="1"/>
  <c r="C106" i="1"/>
  <c r="L105" i="1"/>
  <c r="K105" i="1"/>
  <c r="J105" i="1"/>
  <c r="I105" i="1"/>
  <c r="H105" i="1"/>
  <c r="G105" i="1"/>
  <c r="F105" i="1"/>
  <c r="E105" i="1"/>
  <c r="D105" i="1"/>
  <c r="C105" i="1"/>
  <c r="L104" i="1"/>
  <c r="K104" i="1"/>
  <c r="J104" i="1"/>
  <c r="I104" i="1"/>
  <c r="H104" i="1"/>
  <c r="G104" i="1"/>
  <c r="F104" i="1"/>
  <c r="E104" i="1"/>
  <c r="D104" i="1"/>
  <c r="C104" i="1"/>
  <c r="L103" i="1"/>
  <c r="K103" i="1"/>
  <c r="J103" i="1"/>
  <c r="I103" i="1"/>
  <c r="H103" i="1"/>
  <c r="G103" i="1"/>
  <c r="F103" i="1"/>
  <c r="E103" i="1"/>
  <c r="D103" i="1"/>
  <c r="C103" i="1"/>
  <c r="L102" i="1"/>
  <c r="K102" i="1"/>
  <c r="J102" i="1"/>
  <c r="I102" i="1"/>
  <c r="H102" i="1"/>
  <c r="G102" i="1"/>
  <c r="F102" i="1"/>
  <c r="E102" i="1"/>
  <c r="D102" i="1"/>
  <c r="C102" i="1"/>
  <c r="L101" i="1"/>
  <c r="K101" i="1"/>
  <c r="J101" i="1"/>
  <c r="I101" i="1"/>
  <c r="H101" i="1"/>
  <c r="G101" i="1"/>
  <c r="F101" i="1"/>
  <c r="E101" i="1"/>
  <c r="D101" i="1"/>
  <c r="C101" i="1"/>
  <c r="L100" i="1"/>
  <c r="K100" i="1"/>
  <c r="J100" i="1"/>
  <c r="I100" i="1"/>
  <c r="H100" i="1"/>
  <c r="G100" i="1"/>
  <c r="F100" i="1"/>
  <c r="E100" i="1"/>
  <c r="D100" i="1"/>
  <c r="C100" i="1"/>
  <c r="L99" i="1"/>
  <c r="K99" i="1"/>
  <c r="J99" i="1"/>
  <c r="I99" i="1"/>
  <c r="H99" i="1"/>
  <c r="G99" i="1"/>
  <c r="F99" i="1"/>
  <c r="E99" i="1"/>
  <c r="D99" i="1"/>
  <c r="C99" i="1"/>
  <c r="L98" i="1"/>
  <c r="K98" i="1"/>
  <c r="J98" i="1"/>
  <c r="I98" i="1"/>
  <c r="H98" i="1"/>
  <c r="G98" i="1"/>
  <c r="F98" i="1"/>
  <c r="E98" i="1"/>
  <c r="D98" i="1"/>
  <c r="C98" i="1"/>
  <c r="L97" i="1"/>
  <c r="K97" i="1"/>
  <c r="J97" i="1"/>
  <c r="I97" i="1"/>
  <c r="H97" i="1"/>
  <c r="G97" i="1"/>
  <c r="F97" i="1"/>
  <c r="E97" i="1"/>
  <c r="D97" i="1"/>
  <c r="C97" i="1"/>
  <c r="L96" i="1"/>
  <c r="K96" i="1"/>
  <c r="J96" i="1"/>
  <c r="I96" i="1"/>
  <c r="H96" i="1"/>
  <c r="G96" i="1"/>
  <c r="F96" i="1"/>
  <c r="E96" i="1"/>
  <c r="D96" i="1"/>
  <c r="C96" i="1"/>
  <c r="L95" i="1"/>
  <c r="K95" i="1"/>
  <c r="J95" i="1"/>
  <c r="I95" i="1"/>
  <c r="H95" i="1"/>
  <c r="G95" i="1"/>
  <c r="F95" i="1"/>
  <c r="E95" i="1"/>
  <c r="D95" i="1"/>
  <c r="L94" i="1"/>
  <c r="K94" i="1"/>
  <c r="J94" i="1"/>
  <c r="I94" i="1"/>
  <c r="H94" i="1"/>
  <c r="G94" i="1"/>
  <c r="F94" i="1"/>
  <c r="E94" i="1"/>
  <c r="D94" i="1"/>
  <c r="C94" i="1"/>
  <c r="L93" i="1"/>
  <c r="K93" i="1"/>
  <c r="J93" i="1"/>
  <c r="I93" i="1"/>
  <c r="H93" i="1"/>
  <c r="G93" i="1"/>
  <c r="F93" i="1"/>
  <c r="E93" i="1"/>
  <c r="D93" i="1"/>
  <c r="L92" i="1"/>
  <c r="K92" i="1"/>
  <c r="J92" i="1"/>
  <c r="I92" i="1"/>
  <c r="H92" i="1"/>
  <c r="G92" i="1"/>
  <c r="F92" i="1"/>
  <c r="E92" i="1"/>
  <c r="D92" i="1"/>
  <c r="L91" i="1"/>
  <c r="K91" i="1"/>
  <c r="J91" i="1"/>
  <c r="I91" i="1"/>
  <c r="H91" i="1"/>
  <c r="G91" i="1"/>
  <c r="F91" i="1"/>
  <c r="E91" i="1"/>
  <c r="D91" i="1"/>
  <c r="C91" i="1"/>
  <c r="L90" i="1"/>
  <c r="K90" i="1"/>
  <c r="J90" i="1"/>
  <c r="I90" i="1"/>
  <c r="H90" i="1"/>
  <c r="G90" i="1"/>
  <c r="F90" i="1"/>
  <c r="E90" i="1"/>
  <c r="D90" i="1"/>
  <c r="C90" i="1"/>
  <c r="L89" i="1"/>
  <c r="K89" i="1"/>
  <c r="J89" i="1"/>
  <c r="I89" i="1"/>
  <c r="H89" i="1"/>
  <c r="G89" i="1"/>
  <c r="F89" i="1"/>
  <c r="E89" i="1"/>
  <c r="D89" i="1"/>
  <c r="C89" i="1"/>
  <c r="L88" i="1"/>
  <c r="K88" i="1"/>
  <c r="J88" i="1"/>
  <c r="I88" i="1"/>
  <c r="H88" i="1"/>
  <c r="G88" i="1"/>
  <c r="F88" i="1"/>
  <c r="E88" i="1"/>
  <c r="D88" i="1"/>
  <c r="C88" i="1"/>
  <c r="L87" i="1"/>
  <c r="K87" i="1"/>
  <c r="J87" i="1"/>
  <c r="I87" i="1"/>
  <c r="H87" i="1"/>
  <c r="G87" i="1"/>
  <c r="F87" i="1"/>
  <c r="E87" i="1"/>
  <c r="D87" i="1"/>
  <c r="L86" i="1"/>
  <c r="K86" i="1"/>
  <c r="J86" i="1"/>
  <c r="I86" i="1"/>
  <c r="H86" i="1"/>
  <c r="G86" i="1"/>
  <c r="F86" i="1"/>
  <c r="E86" i="1"/>
  <c r="D86" i="1"/>
  <c r="C86" i="1"/>
  <c r="L85" i="1"/>
  <c r="K85" i="1"/>
  <c r="J85" i="1"/>
  <c r="I85" i="1"/>
  <c r="H85" i="1"/>
  <c r="G85" i="1"/>
  <c r="F85" i="1"/>
  <c r="E85" i="1"/>
  <c r="D85" i="1"/>
  <c r="C85" i="1"/>
  <c r="L84" i="1"/>
  <c r="K84" i="1"/>
  <c r="J84" i="1"/>
  <c r="I84" i="1"/>
  <c r="H84" i="1"/>
  <c r="G84" i="1"/>
  <c r="F84" i="1"/>
  <c r="E84" i="1"/>
  <c r="D84" i="1"/>
  <c r="C84" i="1"/>
  <c r="L83" i="1"/>
  <c r="K83" i="1"/>
  <c r="J83" i="1"/>
  <c r="I83" i="1"/>
  <c r="H83" i="1"/>
  <c r="G83" i="1"/>
  <c r="F83" i="1"/>
  <c r="E83" i="1"/>
  <c r="D83" i="1"/>
  <c r="C83" i="1"/>
  <c r="L82" i="1"/>
  <c r="K82" i="1"/>
  <c r="J82" i="1"/>
  <c r="I82" i="1"/>
  <c r="H82" i="1"/>
  <c r="G82" i="1"/>
  <c r="F82" i="1"/>
  <c r="E82" i="1"/>
  <c r="D82" i="1"/>
  <c r="C82" i="1"/>
  <c r="L81" i="1"/>
  <c r="K81" i="1"/>
  <c r="J81" i="1"/>
  <c r="I81" i="1"/>
  <c r="H81" i="1"/>
  <c r="G81" i="1"/>
  <c r="F81" i="1"/>
  <c r="E81" i="1"/>
  <c r="D81" i="1"/>
  <c r="L80" i="1"/>
  <c r="K80" i="1"/>
  <c r="J80" i="1"/>
  <c r="I80" i="1"/>
  <c r="H80" i="1"/>
  <c r="G80" i="1"/>
  <c r="F80" i="1"/>
  <c r="E80" i="1"/>
  <c r="D80" i="1"/>
  <c r="C80" i="1"/>
  <c r="L79" i="1"/>
  <c r="K79" i="1"/>
  <c r="J79" i="1"/>
  <c r="I79" i="1"/>
  <c r="H79" i="1"/>
  <c r="G79" i="1"/>
  <c r="F79" i="1"/>
  <c r="E79" i="1"/>
  <c r="D79" i="1"/>
  <c r="C79" i="1"/>
  <c r="L78" i="1"/>
  <c r="K78" i="1"/>
  <c r="J78" i="1"/>
  <c r="I78" i="1"/>
  <c r="H78" i="1"/>
  <c r="G78" i="1"/>
  <c r="F78" i="1"/>
  <c r="E78" i="1"/>
  <c r="D78" i="1"/>
  <c r="C78" i="1"/>
  <c r="L77" i="1"/>
  <c r="K77" i="1"/>
  <c r="J77" i="1"/>
  <c r="I77" i="1"/>
  <c r="H77" i="1"/>
  <c r="G77" i="1"/>
  <c r="F77" i="1"/>
  <c r="E77" i="1"/>
  <c r="D77" i="1"/>
  <c r="L76" i="1"/>
  <c r="K76" i="1"/>
  <c r="J76" i="1"/>
  <c r="I76" i="1"/>
  <c r="H76" i="1"/>
  <c r="G76" i="1"/>
  <c r="F76" i="1"/>
  <c r="E76" i="1"/>
  <c r="D76" i="1"/>
  <c r="C76" i="1"/>
  <c r="L75" i="1"/>
  <c r="K75" i="1"/>
  <c r="J75" i="1"/>
  <c r="I75" i="1"/>
  <c r="H75" i="1"/>
  <c r="G75" i="1"/>
  <c r="F75" i="1"/>
  <c r="E75" i="1"/>
  <c r="D75" i="1"/>
  <c r="C75" i="1"/>
  <c r="L74" i="1"/>
  <c r="K74" i="1"/>
  <c r="J74" i="1"/>
  <c r="I74" i="1"/>
  <c r="H74" i="1"/>
  <c r="G74" i="1"/>
  <c r="F74" i="1"/>
  <c r="E74" i="1"/>
  <c r="D74" i="1"/>
  <c r="C74" i="1"/>
  <c r="L73" i="1"/>
  <c r="K73" i="1"/>
  <c r="J73" i="1"/>
  <c r="I73" i="1"/>
  <c r="H73" i="1"/>
  <c r="G73" i="1"/>
  <c r="F73" i="1"/>
  <c r="E73" i="1"/>
  <c r="D73" i="1"/>
  <c r="C73" i="1"/>
  <c r="L72" i="1"/>
  <c r="K72" i="1"/>
  <c r="J72" i="1"/>
  <c r="I72" i="1"/>
  <c r="H72" i="1"/>
  <c r="G72" i="1"/>
  <c r="F72" i="1"/>
  <c r="E72" i="1"/>
  <c r="D72" i="1"/>
  <c r="L71" i="1"/>
  <c r="K71" i="1"/>
  <c r="J71" i="1"/>
  <c r="I71" i="1"/>
  <c r="H71" i="1"/>
  <c r="G71" i="1"/>
  <c r="F71" i="1"/>
  <c r="E71" i="1"/>
  <c r="D71" i="1"/>
  <c r="C71" i="1"/>
  <c r="L70" i="1"/>
  <c r="K70" i="1"/>
  <c r="J70" i="1"/>
  <c r="I70" i="1"/>
  <c r="H70" i="1"/>
  <c r="G70" i="1"/>
  <c r="F70" i="1"/>
  <c r="E70" i="1"/>
  <c r="D70" i="1"/>
  <c r="C70" i="1"/>
  <c r="L69" i="1"/>
  <c r="K69" i="1"/>
  <c r="J69" i="1"/>
  <c r="I69" i="1"/>
  <c r="H69" i="1"/>
  <c r="G69" i="1"/>
  <c r="F69" i="1"/>
  <c r="E69" i="1"/>
  <c r="D69" i="1"/>
  <c r="L68" i="1"/>
  <c r="K68" i="1"/>
  <c r="J68" i="1"/>
  <c r="I68" i="1"/>
  <c r="H68" i="1"/>
  <c r="G68" i="1"/>
  <c r="F68" i="1"/>
  <c r="E68" i="1"/>
  <c r="D68" i="1"/>
  <c r="C68" i="1"/>
  <c r="L67" i="1"/>
  <c r="K67" i="1"/>
  <c r="J67" i="1"/>
  <c r="I67" i="1"/>
  <c r="H67" i="1"/>
  <c r="G67" i="1"/>
  <c r="F67" i="1"/>
  <c r="E67" i="1"/>
  <c r="D67" i="1"/>
  <c r="C67" i="1"/>
  <c r="L66" i="1"/>
  <c r="K66" i="1"/>
  <c r="J66" i="1"/>
  <c r="I66" i="1"/>
  <c r="H66" i="1"/>
  <c r="G66" i="1"/>
  <c r="F66" i="1"/>
  <c r="E66" i="1"/>
  <c r="D66" i="1"/>
  <c r="C66" i="1"/>
  <c r="L65" i="1"/>
  <c r="K65" i="1"/>
  <c r="J65" i="1"/>
  <c r="I65" i="1"/>
  <c r="H65" i="1"/>
  <c r="G65" i="1"/>
  <c r="F65" i="1"/>
  <c r="E65" i="1"/>
  <c r="D65" i="1"/>
  <c r="C65" i="1"/>
  <c r="L64" i="1"/>
  <c r="K64" i="1"/>
  <c r="J64" i="1"/>
  <c r="I64" i="1"/>
  <c r="H64" i="1"/>
  <c r="G64" i="1"/>
  <c r="F64" i="1"/>
  <c r="E64" i="1"/>
  <c r="D64" i="1"/>
  <c r="C64" i="1"/>
  <c r="L63" i="1"/>
  <c r="K63" i="1"/>
  <c r="J63" i="1"/>
  <c r="I63" i="1"/>
  <c r="H63" i="1"/>
  <c r="G63" i="1"/>
  <c r="F63" i="1"/>
  <c r="E63" i="1"/>
  <c r="D63" i="1"/>
  <c r="C63" i="1"/>
  <c r="L62" i="1"/>
  <c r="K62" i="1"/>
  <c r="J62" i="1"/>
  <c r="I62" i="1"/>
  <c r="H62" i="1"/>
  <c r="G62" i="1"/>
  <c r="F62" i="1"/>
  <c r="E62" i="1"/>
  <c r="D62" i="1"/>
  <c r="C62" i="1"/>
  <c r="L61" i="1"/>
  <c r="K61" i="1"/>
  <c r="J61" i="1"/>
  <c r="I61" i="1"/>
  <c r="H61" i="1"/>
  <c r="G61" i="1"/>
  <c r="F61" i="1"/>
  <c r="E61" i="1"/>
  <c r="D61" i="1"/>
  <c r="C61" i="1"/>
  <c r="L60" i="1"/>
  <c r="K60" i="1"/>
  <c r="J60" i="1"/>
  <c r="I60" i="1"/>
  <c r="H60" i="1"/>
  <c r="G60" i="1"/>
  <c r="F60" i="1"/>
  <c r="E60" i="1"/>
  <c r="D60" i="1"/>
  <c r="C60" i="1"/>
  <c r="L59" i="1"/>
  <c r="K59" i="1"/>
  <c r="J59" i="1"/>
  <c r="I59" i="1"/>
  <c r="H59" i="1"/>
  <c r="G59" i="1"/>
  <c r="F59" i="1"/>
  <c r="E59" i="1"/>
  <c r="D59" i="1"/>
  <c r="C59" i="1"/>
  <c r="L58" i="1"/>
  <c r="K58" i="1"/>
  <c r="J58" i="1"/>
  <c r="I58" i="1"/>
  <c r="H58" i="1"/>
  <c r="G58" i="1"/>
  <c r="F58" i="1"/>
  <c r="E58" i="1"/>
  <c r="D58" i="1"/>
  <c r="L57" i="1"/>
  <c r="K57" i="1"/>
  <c r="J57" i="1"/>
  <c r="I57" i="1"/>
  <c r="H57" i="1"/>
  <c r="G57" i="1"/>
  <c r="F57" i="1"/>
  <c r="E57" i="1"/>
  <c r="D57" i="1"/>
  <c r="C57" i="1"/>
  <c r="L56" i="1"/>
  <c r="K56" i="1"/>
  <c r="J56" i="1"/>
  <c r="I56" i="1"/>
  <c r="H56" i="1"/>
  <c r="G56" i="1"/>
  <c r="F56" i="1"/>
  <c r="E56" i="1"/>
  <c r="D56" i="1"/>
  <c r="C56" i="1"/>
  <c r="L55" i="1"/>
  <c r="K55" i="1"/>
  <c r="J55" i="1"/>
  <c r="I55" i="1"/>
  <c r="H55" i="1"/>
  <c r="G55" i="1"/>
  <c r="F55" i="1"/>
  <c r="E55" i="1"/>
  <c r="D55" i="1"/>
  <c r="C55" i="1"/>
  <c r="L54" i="1"/>
  <c r="K54" i="1"/>
  <c r="J54" i="1"/>
  <c r="I54" i="1"/>
  <c r="H54" i="1"/>
  <c r="G54" i="1"/>
  <c r="F54" i="1"/>
  <c r="E54" i="1"/>
  <c r="D54" i="1"/>
  <c r="C54" i="1"/>
  <c r="L53" i="1"/>
  <c r="K53" i="1"/>
  <c r="J53" i="1"/>
  <c r="I53" i="1"/>
  <c r="H53" i="1"/>
  <c r="G53" i="1"/>
  <c r="F53" i="1"/>
  <c r="E53" i="1"/>
  <c r="D53" i="1"/>
  <c r="C53" i="1"/>
  <c r="L52" i="1"/>
  <c r="K52" i="1"/>
  <c r="J52" i="1"/>
  <c r="I52" i="1"/>
  <c r="H52" i="1"/>
  <c r="G52" i="1"/>
  <c r="F52" i="1"/>
  <c r="E52" i="1"/>
  <c r="D52" i="1"/>
  <c r="C52" i="1"/>
  <c r="L51" i="1"/>
  <c r="K51" i="1"/>
  <c r="J51" i="1"/>
  <c r="I51" i="1"/>
  <c r="H51" i="1"/>
  <c r="G51" i="1"/>
  <c r="F51" i="1"/>
  <c r="E51" i="1"/>
  <c r="D51" i="1"/>
  <c r="L50" i="1"/>
  <c r="K50" i="1"/>
  <c r="J50" i="1"/>
  <c r="I50" i="1"/>
  <c r="H50" i="1"/>
  <c r="G50" i="1"/>
  <c r="F50" i="1"/>
  <c r="E50" i="1"/>
  <c r="D50" i="1"/>
  <c r="C50" i="1"/>
  <c r="L49" i="1"/>
  <c r="K49" i="1"/>
  <c r="J49" i="1"/>
  <c r="I49" i="1"/>
  <c r="H49" i="1"/>
  <c r="G49" i="1"/>
  <c r="F49" i="1"/>
  <c r="E49" i="1"/>
  <c r="D49" i="1"/>
  <c r="C49" i="1"/>
  <c r="L48" i="1"/>
  <c r="K48" i="1"/>
  <c r="J48" i="1"/>
  <c r="I48" i="1"/>
  <c r="H48" i="1"/>
  <c r="G48" i="1"/>
  <c r="F48" i="1"/>
  <c r="E48" i="1"/>
  <c r="D48" i="1"/>
  <c r="L47" i="1"/>
  <c r="K47" i="1"/>
  <c r="J47" i="1"/>
  <c r="I47" i="1"/>
  <c r="H47" i="1"/>
  <c r="G47" i="1"/>
  <c r="F47" i="1"/>
  <c r="E47" i="1"/>
  <c r="D47" i="1"/>
  <c r="C47" i="1"/>
  <c r="L46" i="1"/>
  <c r="K46" i="1"/>
  <c r="J46" i="1"/>
  <c r="I46" i="1"/>
  <c r="H46" i="1"/>
  <c r="G46" i="1"/>
  <c r="F46" i="1"/>
  <c r="E46" i="1"/>
  <c r="D46" i="1"/>
  <c r="L45" i="1"/>
  <c r="K45" i="1"/>
  <c r="J45" i="1"/>
  <c r="I45" i="1"/>
  <c r="H45" i="1"/>
  <c r="G45" i="1"/>
  <c r="F45" i="1"/>
  <c r="E45" i="1"/>
  <c r="D45" i="1"/>
  <c r="L44" i="1"/>
  <c r="K44" i="1"/>
  <c r="J44" i="1"/>
  <c r="I44" i="1"/>
  <c r="H44" i="1"/>
  <c r="G44" i="1"/>
  <c r="F44" i="1"/>
  <c r="E44" i="1"/>
  <c r="D44" i="1"/>
  <c r="L43" i="1"/>
  <c r="K43" i="1"/>
  <c r="J43" i="1"/>
  <c r="I43" i="1"/>
  <c r="H43" i="1"/>
  <c r="G43" i="1"/>
  <c r="F43" i="1"/>
  <c r="E43" i="1"/>
  <c r="D43" i="1"/>
  <c r="C43" i="1"/>
  <c r="L42" i="1"/>
  <c r="K42" i="1"/>
  <c r="J42" i="1"/>
  <c r="I42" i="1"/>
  <c r="H42" i="1"/>
  <c r="G42" i="1"/>
  <c r="F42" i="1"/>
  <c r="E42" i="1"/>
  <c r="D42" i="1"/>
  <c r="L41" i="1"/>
  <c r="K41" i="1"/>
  <c r="J41" i="1"/>
  <c r="I41" i="1"/>
  <c r="H41" i="1"/>
  <c r="G41" i="1"/>
  <c r="F41" i="1"/>
  <c r="E41" i="1"/>
  <c r="D41" i="1"/>
  <c r="L40" i="1"/>
  <c r="K40" i="1"/>
  <c r="J40" i="1"/>
  <c r="I40" i="1"/>
  <c r="H40" i="1"/>
  <c r="G40" i="1"/>
  <c r="F40" i="1"/>
  <c r="E40" i="1"/>
  <c r="D40" i="1"/>
  <c r="L39" i="1"/>
  <c r="K39" i="1"/>
  <c r="J39" i="1"/>
  <c r="I39" i="1"/>
  <c r="H39" i="1"/>
  <c r="G39" i="1"/>
  <c r="F39" i="1"/>
  <c r="E39" i="1"/>
  <c r="D39" i="1"/>
  <c r="L38" i="1"/>
  <c r="K38" i="1"/>
  <c r="J38" i="1"/>
  <c r="I38" i="1"/>
  <c r="H38" i="1"/>
  <c r="G38" i="1"/>
  <c r="F38" i="1"/>
  <c r="E38" i="1"/>
  <c r="D38" i="1"/>
  <c r="L37" i="1"/>
  <c r="K37" i="1"/>
  <c r="J37" i="1"/>
  <c r="I37" i="1"/>
  <c r="H37" i="1"/>
  <c r="G37" i="1"/>
  <c r="F37" i="1"/>
  <c r="E37" i="1"/>
  <c r="D37" i="1"/>
  <c r="L36" i="1"/>
  <c r="K36" i="1"/>
  <c r="J36" i="1"/>
  <c r="I36" i="1"/>
  <c r="H36" i="1"/>
  <c r="G36" i="1"/>
  <c r="F36" i="1"/>
  <c r="D36" i="1"/>
  <c r="C36" i="1"/>
  <c r="L35" i="1"/>
  <c r="K35" i="1"/>
  <c r="J35" i="1"/>
  <c r="I35" i="1"/>
  <c r="H35" i="1"/>
  <c r="G35" i="1"/>
  <c r="F35" i="1"/>
  <c r="D35" i="1"/>
  <c r="C35" i="1"/>
  <c r="L34" i="1"/>
  <c r="K34" i="1"/>
  <c r="J34" i="1"/>
  <c r="I34" i="1"/>
  <c r="H34" i="1"/>
  <c r="G34" i="1"/>
  <c r="F34" i="1"/>
  <c r="D34" i="1"/>
  <c r="C34" i="1"/>
  <c r="L33" i="1"/>
  <c r="K33" i="1"/>
  <c r="J33" i="1"/>
  <c r="I33" i="1"/>
  <c r="H33" i="1"/>
  <c r="G33" i="1"/>
  <c r="F33" i="1"/>
  <c r="D33" i="1"/>
  <c r="C33" i="1"/>
  <c r="L32" i="1"/>
  <c r="K32" i="1"/>
  <c r="J32" i="1"/>
  <c r="I32" i="1"/>
  <c r="H32" i="1"/>
  <c r="G32" i="1"/>
  <c r="F32" i="1"/>
  <c r="E32" i="1"/>
  <c r="D32" i="1"/>
  <c r="C32" i="1"/>
  <c r="L31" i="1"/>
  <c r="K31" i="1"/>
  <c r="J31" i="1"/>
  <c r="I31" i="1"/>
  <c r="H31" i="1"/>
  <c r="G31" i="1"/>
  <c r="F31" i="1"/>
  <c r="D31" i="1"/>
  <c r="C31" i="1"/>
  <c r="L30" i="1"/>
  <c r="K30" i="1"/>
  <c r="J30" i="1"/>
  <c r="I30" i="1"/>
  <c r="H30" i="1"/>
  <c r="G30" i="1"/>
  <c r="F30" i="1"/>
  <c r="E30" i="1"/>
  <c r="D30" i="1"/>
  <c r="C30" i="1"/>
  <c r="L29" i="1"/>
  <c r="K29" i="1"/>
  <c r="J29" i="1"/>
  <c r="I29" i="1"/>
  <c r="H29" i="1"/>
  <c r="G29" i="1"/>
  <c r="F29" i="1"/>
  <c r="D29" i="1"/>
  <c r="L28" i="1"/>
  <c r="K28" i="1"/>
  <c r="J28" i="1"/>
  <c r="I28" i="1"/>
  <c r="H28" i="1"/>
  <c r="G28" i="1"/>
  <c r="F28" i="1"/>
  <c r="D28" i="1"/>
  <c r="C28" i="1"/>
  <c r="L26" i="1"/>
  <c r="K26" i="1"/>
  <c r="J26" i="1"/>
  <c r="I26" i="1"/>
  <c r="H26" i="1"/>
  <c r="G26" i="1"/>
  <c r="F26" i="1"/>
  <c r="D26" i="1"/>
  <c r="C26" i="1"/>
  <c r="L25" i="1"/>
  <c r="K25" i="1"/>
  <c r="J25" i="1"/>
  <c r="I25" i="1"/>
  <c r="H25" i="1"/>
  <c r="G25" i="1"/>
  <c r="F25" i="1"/>
  <c r="E25" i="1"/>
  <c r="D25" i="1"/>
  <c r="L24" i="1"/>
  <c r="K24" i="1"/>
  <c r="J24" i="1"/>
  <c r="I24" i="1"/>
  <c r="H24" i="1"/>
  <c r="G24" i="1"/>
  <c r="F24" i="1"/>
  <c r="D24" i="1"/>
  <c r="C24" i="1"/>
  <c r="L23" i="1"/>
  <c r="K23" i="1"/>
  <c r="J23" i="1"/>
  <c r="I23" i="1"/>
  <c r="H23" i="1"/>
  <c r="G23" i="1"/>
  <c r="F23" i="1"/>
  <c r="E23" i="1"/>
  <c r="D23" i="1"/>
  <c r="C23" i="1"/>
  <c r="L22" i="1"/>
  <c r="K22" i="1"/>
  <c r="J22" i="1"/>
  <c r="I22" i="1"/>
  <c r="H22" i="1"/>
  <c r="G22" i="1"/>
  <c r="F22" i="1"/>
  <c r="E22" i="1"/>
  <c r="D22" i="1"/>
  <c r="C22" i="1"/>
  <c r="L21" i="1"/>
  <c r="K21" i="1"/>
  <c r="J21" i="1"/>
  <c r="I21" i="1"/>
  <c r="H21" i="1"/>
  <c r="G21" i="1"/>
  <c r="F21" i="1"/>
  <c r="D21" i="1"/>
  <c r="C21" i="1"/>
  <c r="L20" i="1"/>
  <c r="K20" i="1"/>
  <c r="J20" i="1"/>
  <c r="I20" i="1"/>
  <c r="H20" i="1"/>
  <c r="G20" i="1"/>
  <c r="F20" i="1"/>
  <c r="D20" i="1"/>
  <c r="C20" i="1"/>
  <c r="L19" i="1"/>
  <c r="K19" i="1"/>
  <c r="J19" i="1"/>
  <c r="I19" i="1"/>
  <c r="H19" i="1"/>
  <c r="G19" i="1"/>
  <c r="F19" i="1"/>
  <c r="D19" i="1"/>
  <c r="C19" i="1"/>
  <c r="L18" i="1"/>
  <c r="K18" i="1"/>
  <c r="J18" i="1"/>
  <c r="I18" i="1"/>
  <c r="H18" i="1"/>
  <c r="G18" i="1"/>
  <c r="F18" i="1"/>
  <c r="D18" i="1"/>
  <c r="C18" i="1"/>
  <c r="L17" i="1"/>
  <c r="K17" i="1"/>
  <c r="J17" i="1"/>
  <c r="I17" i="1"/>
  <c r="H17" i="1"/>
  <c r="G17" i="1"/>
  <c r="F17" i="1"/>
  <c r="E17" i="1"/>
  <c r="D17" i="1"/>
  <c r="C17" i="1"/>
  <c r="L16" i="1"/>
  <c r="K16" i="1"/>
  <c r="J16" i="1"/>
  <c r="I16" i="1"/>
  <c r="H16" i="1"/>
  <c r="G16" i="1"/>
  <c r="F16" i="1"/>
  <c r="E16" i="1"/>
  <c r="D16" i="1"/>
  <c r="C16" i="1"/>
  <c r="L15" i="1"/>
  <c r="K15" i="1"/>
  <c r="J15" i="1"/>
  <c r="I15" i="1"/>
  <c r="H15" i="1"/>
  <c r="G15" i="1"/>
  <c r="F15" i="1"/>
  <c r="E15" i="1"/>
  <c r="D15" i="1"/>
  <c r="C15" i="1"/>
  <c r="L14" i="1"/>
  <c r="K14" i="1"/>
  <c r="J14" i="1"/>
  <c r="I14" i="1"/>
  <c r="H14" i="1"/>
  <c r="G14" i="1"/>
  <c r="F14" i="1"/>
  <c r="D14" i="1"/>
  <c r="C14" i="1"/>
  <c r="L13" i="1"/>
  <c r="K13" i="1"/>
  <c r="J13" i="1"/>
  <c r="I13" i="1"/>
  <c r="H13" i="1"/>
  <c r="G13" i="1"/>
  <c r="F13" i="1"/>
  <c r="D13" i="1"/>
  <c r="C13" i="1"/>
  <c r="L12" i="1"/>
  <c r="K12" i="1"/>
  <c r="J12" i="1"/>
  <c r="I12" i="1"/>
  <c r="H12" i="1"/>
  <c r="G12" i="1"/>
  <c r="F12" i="1"/>
  <c r="E12" i="1"/>
  <c r="D12" i="1"/>
  <c r="L11" i="1"/>
  <c r="K11" i="1"/>
  <c r="J11" i="1"/>
  <c r="I11" i="1"/>
  <c r="H11" i="1"/>
  <c r="G11" i="1"/>
  <c r="F11" i="1"/>
  <c r="E11" i="1"/>
  <c r="D11" i="1"/>
  <c r="C11" i="1"/>
  <c r="L10" i="1"/>
  <c r="K10" i="1"/>
  <c r="J10" i="1"/>
  <c r="I10" i="1"/>
  <c r="H10" i="1"/>
  <c r="G10" i="1"/>
  <c r="F10" i="1"/>
  <c r="E10" i="1"/>
  <c r="D10" i="1"/>
  <c r="C10" i="1"/>
</calcChain>
</file>

<file path=xl/sharedStrings.xml><?xml version="1.0" encoding="utf-8"?>
<sst xmlns="http://schemas.openxmlformats.org/spreadsheetml/2006/main" count="1352" uniqueCount="1145">
  <si>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</si>
  <si>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</si>
  <si>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</si>
  <si>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</si>
  <si>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</si>
  <si>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</si>
  <si>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</si>
  <si>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</si>
  <si>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</si>
  <si>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</si>
  <si>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</si>
  <si>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</si>
  <si>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</si>
  <si>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</si>
  <si>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</si>
  <si>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</si>
  <si>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</si>
  <si>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</si>
  <si>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</si>
  <si>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</si>
  <si>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</si>
  <si>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</si>
  <si>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</si>
  <si>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</si>
  <si>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</si>
  <si>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</si>
  <si>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</si>
  <si>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</si>
  <si>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</si>
  <si>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</si>
  <si>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</si>
  <si>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</si>
  <si>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</si>
  <si>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</si>
  <si>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</si>
  <si>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</si>
  <si>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</si>
  <si>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</si>
  <si>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</si>
  <si>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</si>
  <si>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</si>
  <si>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</si>
  <si>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</si>
  <si>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</si>
  <si>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</si>
  <si>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</si>
  <si>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</si>
  <si>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</si>
  <si>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</si>
  <si>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</si>
  <si>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</si>
  <si>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</si>
  <si>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</si>
  <si>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</si>
  <si>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</si>
  <si>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</si>
  <si>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</si>
  <si>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</si>
  <si>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</si>
  <si>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</si>
  <si>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</si>
  <si>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</si>
  <si>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</si>
  <si>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</si>
  <si>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</si>
  <si>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</si>
  <si>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</si>
  <si>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</si>
  <si>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</si>
  <si>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</si>
  <si>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</si>
  <si>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</si>
  <si>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</si>
  <si>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</si>
  <si>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</si>
  <si>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</si>
  <si>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</si>
  <si>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</si>
  <si>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</si>
  <si>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</si>
  <si>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</si>
  <si>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</si>
  <si>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</si>
  <si>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</si>
  <si>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</si>
  <si>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</si>
  <si>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</si>
  <si>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</si>
  <si>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</si>
  <si>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</si>
  <si>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</si>
  <si>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</si>
  <si>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</si>
  <si>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</si>
  <si>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</si>
  <si>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</si>
  <si>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</si>
  <si>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</si>
  <si>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</si>
  <si>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</si>
  <si>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</si>
  <si>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</si>
  <si>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</si>
  <si>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</si>
  <si>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</si>
  <si>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</si>
  <si>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</si>
  <si>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</si>
  <si>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</si>
  <si>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</si>
  <si>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</si>
  <si>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</si>
  <si>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</si>
  <si>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</si>
  <si>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</si>
  <si>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</si>
  <si>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</si>
  <si>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</si>
  <si>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Hint: Shared glory</t>
  </si>
  <si>
    <t>When a creature is killed, everybody nearby receives glory and task progress as if they killed it alone.</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</si>
  <si>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</si>
  <si>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</si>
  <si>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</si>
  <si>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</si>
  <si>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</si>
  <si>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</si>
  <si>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</si>
  <si>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</si>
  <si>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</si>
  <si>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</si>
  <si>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</si>
  <si>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Glory tooltip</t>
  </si>
  <si>
    <t>Glory: Your score, used to enter harder dungeons. You get glory from doing most things, such as completing quests, killing monsters and other players, gathering, crafting, and clearing dungeons.</t>
  </si>
  <si>
    <t>Defence tooltip</t>
  </si>
  <si>
    <t>Defence: Reduces the amount of damage you take. Increase your defence points by using certain clothing items, potions, and enchantments.</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</si>
  <si>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</si>
  <si>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</si>
  <si>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</si>
  <si>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</si>
  <si>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</si>
  <si>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</si>
  <si>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</si>
  <si>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</si>
  <si>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</si>
  <si>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</si>
  <si>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</si>
  <si>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</si>
  <si>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</si>
  <si>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</si>
  <si>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</si>
  <si>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Inventory tooltip</t>
  </si>
  <si>
    <t>Inventory</t>
  </si>
  <si>
    <t>Combat tooltip</t>
  </si>
  <si>
    <t>Combat: You will lose your items if you close the game while in combat.</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</si>
  <si>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</si>
  <si>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</si>
  <si>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</si>
  <si>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</si>
  <si>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</si>
  <si>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</si>
  <si>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</si>
  <si>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</si>
  <si>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</si>
  <si>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</si>
  <si>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</si>
  <si>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</si>
  <si>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</si>
  <si>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</si>
  <si>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</si>
  <si>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</si>
  <si>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</si>
  <si>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</si>
  <si>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</si>
  <si>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</si>
  <si>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</si>
  <si>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</si>
  <si>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</si>
  <si>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</si>
  <si>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</si>
  <si>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</si>
  <si>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</si>
  <si>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</si>
  <si>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</si>
  <si>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</si>
  <si>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</si>
  <si>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</si>
  <si>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</si>
  <si>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</si>
  <si>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</si>
  <si>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</si>
  <si>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</si>
  <si>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</si>
  <si>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</si>
  <si>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</si>
  <si>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</si>
  <si>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</si>
  <si>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</si>
  <si>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</si>
  <si>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</si>
  <si>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</si>
  <si>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</si>
  <si>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</si>
  <si>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</si>
  <si>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</si>
  <si>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</si>
  <si>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</si>
  <si>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</si>
  <si>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</si>
  <si>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</si>
  <si>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</si>
  <si>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</si>
  <si>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</si>
  <si>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</si>
  <si>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</si>
  <si>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</si>
  <si>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</si>
  <si>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</si>
  <si>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</si>
  <si>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</si>
  <si>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</si>
  <si>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</si>
  <si>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</si>
  <si>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</si>
  <si>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</si>
  <si>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</si>
  <si>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</si>
  <si>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</si>
  <si>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</si>
  <si>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</si>
  <si>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</si>
  <si>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</si>
  <si>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</si>
  <si>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</si>
  <si>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</si>
  <si>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</si>
  <si>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</si>
  <si>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</si>
  <si>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</si>
  <si>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</si>
  <si>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</si>
  <si>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</si>
  <si>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</si>
  <si>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</si>
  <si>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</si>
  <si>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</si>
  <si>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</si>
  <si>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</si>
  <si>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</si>
  <si>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</si>
  <si>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</si>
  <si>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</si>
  <si>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</si>
  <si>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</si>
  <si>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</si>
  <si>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</si>
  <si>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</si>
  <si>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</si>
  <si>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</si>
  <si>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</si>
  <si>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</si>
  <si>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</si>
  <si>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</si>
  <si>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</si>
  <si>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</si>
  <si>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</si>
  <si>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</si>
  <si>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</si>
  <si>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</si>
  <si>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</si>
  <si>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</si>
  <si>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</si>
  <si>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</si>
  <si>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</si>
  <si>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</si>
  <si>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</si>
  <si>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</si>
  <si>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</si>
  <si>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</si>
  <si>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</si>
  <si>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</si>
  <si>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</si>
  <si>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</si>
  <si>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</si>
  <si>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</si>
  <si>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</si>
  <si>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</si>
  <si>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</si>
  <si>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</si>
  <si>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</si>
  <si>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</si>
  <si>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</si>
  <si>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</si>
  <si>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</si>
  <si>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</si>
  <si>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</si>
  <si>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</si>
  <si>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</si>
  <si>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</si>
  <si>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</si>
  <si>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</si>
  <si>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</si>
  <si>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</si>
  <si>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</si>
  <si>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</si>
  <si>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</si>
  <si>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</si>
  <si>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</si>
  <si>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</si>
  <si>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</si>
  <si>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</si>
  <si>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</si>
  <si>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</si>
  <si>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</si>
  <si>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</si>
  <si>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</si>
  <si>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</si>
  <si>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</si>
  <si>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</si>
  <si>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</si>
  <si>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</si>
  <si>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</si>
  <si>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</si>
  <si>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</si>
  <si>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</si>
  <si>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</si>
  <si>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</si>
  <si>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</si>
  <si>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</si>
  <si>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</si>
  <si>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</si>
  <si>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</si>
  <si>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</si>
  <si>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</si>
  <si>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</si>
  <si>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</si>
  <si>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</si>
  <si>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</si>
  <si>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</si>
  <si>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</si>
  <si>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</si>
  <si>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</si>
  <si>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</si>
  <si>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</si>
  <si>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</si>
  <si>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</si>
  <si>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</si>
  <si>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</si>
  <si>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</si>
  <si>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</si>
  <si>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</si>
  <si>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</si>
  <si>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</si>
  <si>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</si>
  <si>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</si>
  <si>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</si>
  <si>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</si>
  <si>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</si>
  <si>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</si>
  <si>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</si>
  <si>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</si>
  <si>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</si>
  <si>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</si>
  <si>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</si>
  <si>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</si>
  <si>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</si>
  <si>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</si>
  <si>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</si>
  <si>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</si>
  <si>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</si>
  <si>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</si>
  <si>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</si>
  <si>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</si>
  <si>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</si>
  <si>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</si>
  <si>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</si>
  <si>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</si>
  <si>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</si>
  <si>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</si>
  <si>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</si>
  <si>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</si>
  <si>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</si>
  <si>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</si>
  <si>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</si>
  <si>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</si>
  <si>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</si>
  <si>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</si>
  <si>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</si>
  <si>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</si>
  <si>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</si>
  <si>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</si>
  <si>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</si>
  <si>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</si>
  <si>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</si>
  <si>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</si>
  <si>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</si>
  <si>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</si>
  <si>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</si>
  <si>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</si>
  <si>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</si>
  <si>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</si>
  <si>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</si>
  <si>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</si>
  <si>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</si>
  <si>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</si>
  <si>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</si>
  <si>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</si>
  <si>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</si>
  <si>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</si>
  <si>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</si>
  <si>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</si>
  <si>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</si>
  <si>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</si>
  <si>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</si>
  <si>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</si>
  <si>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</si>
  <si>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</si>
  <si>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</si>
  <si>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</si>
  <si>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</si>
  <si>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</si>
  <si>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</si>
  <si>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</si>
  <si>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</si>
  <si>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</si>
  <si>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</si>
  <si>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</si>
  <si>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</si>
  <si>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</si>
  <si>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</si>
  <si>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</si>
  <si>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</si>
  <si>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</si>
  <si>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</si>
  <si>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</si>
  <si>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</si>
  <si>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</si>
  <si>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</si>
  <si>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</si>
  <si>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</si>
  <si>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</si>
  <si>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</si>
  <si>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</si>
  <si>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</si>
  <si>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</si>
  <si>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</si>
  <si>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</si>
  <si>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</si>
  <si>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</si>
  <si>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</si>
  <si>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</si>
  <si>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</si>
  <si>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</si>
  <si>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</si>
  <si>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</si>
  <si>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</si>
  <si>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</si>
  <si>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</si>
  <si>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</si>
  <si>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</si>
  <si>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</si>
  <si>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</si>
  <si>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</si>
  <si>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</si>
  <si>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</si>
  <si>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</si>
  <si>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</si>
  <si>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</si>
  <si>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</si>
  <si>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</si>
  <si>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</si>
  <si>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</si>
  <si>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</si>
  <si>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</si>
  <si>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</si>
  <si>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</si>
  <si>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</si>
  <si>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</si>
  <si>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</si>
  <si>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</si>
  <si>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</si>
  <si>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</si>
  <si>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</si>
  <si>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</si>
  <si>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</si>
  <si>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</si>
  <si>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</si>
  <si>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</si>
  <si>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</si>
  <si>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</si>
  <si>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</si>
  <si>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</si>
  <si>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</si>
  <si>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</si>
  <si>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</si>
  <si>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</si>
  <si>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</si>
  <si>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</si>
  <si>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</si>
  <si>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</si>
  <si>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</si>
  <si>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</si>
  <si>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</si>
  <si>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</si>
  <si>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</si>
  <si>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</si>
  <si>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</si>
  <si>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</si>
  <si>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</si>
  <si>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</si>
  <si>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</si>
  <si>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</si>
  <si>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</si>
  <si>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</si>
  <si>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</si>
  <si>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</si>
  <si>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</si>
  <si>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</si>
  <si>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</si>
  <si>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</si>
  <si>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</si>
  <si>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</si>
  <si>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</si>
  <si>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</si>
  <si>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</si>
  <si>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</si>
  <si>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</si>
  <si>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</si>
  <si>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</si>
  <si>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</si>
  <si>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</si>
  <si>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</si>
  <si>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</si>
  <si>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</si>
  <si>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</si>
  <si>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</si>
  <si>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</si>
  <si>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</si>
  <si>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</si>
  <si>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</si>
  <si>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</si>
  <si>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</si>
  <si>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</si>
  <si>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</si>
  <si>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</si>
  <si>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</si>
  <si>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</si>
  <si>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</si>
  <si>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</si>
  <si>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</si>
  <si>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</si>
  <si>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</si>
  <si>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</si>
  <si>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</si>
  <si>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</si>
  <si>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</si>
  <si>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</si>
  <si>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</si>
  <si>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</si>
  <si>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</si>
  <si>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</si>
  <si>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</si>
  <si>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</si>
  <si>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</si>
  <si>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</si>
  <si>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</si>
  <si>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</si>
  <si>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</si>
  <si>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</si>
  <si>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</si>
  <si>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</si>
  <si>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</si>
  <si>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</si>
  <si>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</si>
  <si>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</si>
  <si>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</si>
  <si>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</si>
  <si>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</si>
  <si>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</si>
  <si>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</si>
  <si>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</si>
  <si>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</si>
  <si>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</si>
  <si>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</si>
  <si>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</si>
  <si>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</si>
  <si>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</si>
  <si>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</si>
  <si>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</si>
  <si>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</si>
  <si>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</si>
  <si>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</si>
  <si>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</si>
  <si>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</si>
  <si>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</si>
  <si>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</si>
  <si>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</si>
  <si>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</si>
  <si>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</si>
  <si>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</si>
  <si>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</si>
  <si>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</si>
  <si>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</si>
  <si>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</si>
  <si>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</si>
  <si>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</si>
  <si>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</si>
  <si>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</si>
  <si>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</si>
  <si>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</si>
  <si>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</si>
  <si>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</si>
  <si>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</si>
  <si>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</si>
  <si>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</si>
  <si>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</si>
  <si>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</si>
  <si>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</si>
  <si>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</si>
  <si>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</si>
  <si>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</si>
  <si>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</si>
  <si>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</si>
  <si>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</si>
  <si>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</si>
  <si>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</si>
  <si>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</si>
  <si>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</si>
  <si>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</si>
  <si>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</si>
  <si>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</si>
  <si>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</si>
  <si>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</si>
  <si>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</si>
  <si>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</si>
  <si>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</si>
  <si>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</si>
  <si>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</si>
  <si>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</si>
  <si>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</si>
  <si>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</si>
  <si>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</si>
  <si>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</si>
  <si>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</si>
  <si>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</si>
  <si>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</si>
  <si>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</si>
  <si>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</si>
  <si>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</si>
  <si>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</si>
  <si>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</si>
  <si>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</si>
  <si>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</si>
  <si>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</si>
  <si>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</si>
  <si>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</si>
  <si>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</si>
  <si>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</si>
  <si>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</si>
  <si>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</si>
  <si>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</si>
  <si>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</si>
  <si>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</si>
  <si>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</si>
  <si>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</si>
  <si>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</si>
  <si>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</si>
  <si>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</si>
  <si>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</si>
  <si>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</si>
  <si>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</si>
  <si>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</si>
  <si>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</si>
  <si>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</si>
  <si>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</si>
  <si>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</si>
  <si>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</si>
  <si>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</si>
  <si>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</si>
  <si>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</si>
  <si>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</si>
  <si>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</si>
  <si>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</si>
  <si>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</si>
  <si>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</si>
  <si>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</si>
  <si>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</si>
  <si>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</si>
  <si>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</si>
  <si>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</si>
  <si>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</si>
  <si>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</si>
  <si>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</si>
  <si>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</si>
  <si>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</si>
  <si>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</si>
  <si>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</si>
  <si>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</si>
  <si>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</si>
  <si>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</si>
  <si>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</si>
  <si>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</si>
  <si>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</si>
  <si>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</si>
  <si>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</si>
  <si>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</si>
  <si>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</si>
  <si>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</si>
  <si>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</si>
  <si>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</si>
  <si>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</si>
  <si>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</si>
  <si>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</si>
  <si>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</si>
  <si>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</si>
  <si>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</si>
  <si>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</si>
  <si>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</si>
  <si>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</si>
  <si>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</si>
  <si>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</si>
  <si>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</si>
  <si>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</si>
  <si>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</si>
  <si>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</si>
  <si>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</si>
  <si>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</si>
  <si>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</si>
  <si>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</si>
  <si>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</si>
  <si>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</si>
  <si>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</si>
  <si>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</si>
  <si>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</si>
  <si>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</si>
  <si>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</si>
  <si>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</si>
  <si>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</si>
  <si>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</si>
  <si>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</si>
  <si>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</si>
  <si>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</si>
  <si>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</si>
  <si>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</si>
  <si>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</si>
  <si>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</si>
  <si>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</si>
  <si>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</si>
  <si>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</si>
  <si>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</si>
  <si>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</si>
  <si>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</si>
  <si>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</si>
  <si>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</si>
  <si>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</si>
  <si>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</si>
  <si>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</si>
  <si>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</si>
  <si>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</si>
  <si>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</si>
  <si>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</si>
  <si>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</si>
  <si>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</si>
  <si>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</si>
  <si>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</si>
  <si>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</si>
  <si>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</si>
  <si>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</si>
  <si>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</si>
  <si>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</si>
  <si>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</si>
  <si>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</si>
  <si>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</si>
  <si>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</si>
  <si>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</si>
  <si>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</si>
  <si>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</si>
  <si>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</si>
  <si>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</si>
  <si>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</si>
  <si>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</si>
  <si>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</si>
  <si>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</si>
  <si>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</si>
  <si>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</si>
  <si>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</si>
  <si>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</si>
  <si>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</si>
  <si>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</si>
  <si>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</si>
  <si>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</si>
  <si>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</si>
  <si>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</si>
  <si>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</si>
  <si>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</si>
  <si>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</si>
  <si>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</si>
  <si>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</si>
  <si>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</si>
  <si>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</si>
  <si>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</si>
  <si>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</si>
  <si>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</si>
  <si>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</si>
  <si>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</si>
  <si>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</si>
  <si>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</si>
  <si>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</si>
  <si>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</si>
  <si>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</si>
  <si>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</si>
  <si>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</si>
  <si>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</si>
  <si>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</si>
  <si>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</si>
  <si>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</si>
  <si>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</si>
  <si>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</si>
  <si>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</si>
  <si>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</si>
  <si>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</si>
  <si>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</si>
  <si>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</si>
  <si>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</si>
  <si>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</si>
  <si>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</si>
  <si>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</si>
  <si>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</si>
  <si>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</si>
  <si>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</si>
  <si>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</si>
  <si>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</si>
  <si>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</si>
  <si>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</si>
  <si>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</si>
  <si>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</si>
  <si>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</si>
  <si>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</si>
  <si>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</si>
  <si>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</si>
  <si>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</si>
  <si>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</si>
  <si>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</si>
  <si>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</si>
  <si>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</si>
  <si>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</si>
  <si>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</si>
  <si>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</si>
  <si>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</si>
  <si>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</si>
  <si>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</si>
  <si>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</si>
  <si>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</si>
  <si>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</si>
  <si>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</si>
  <si>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</si>
  <si>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</si>
  <si>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</si>
  <si>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</si>
  <si>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</si>
  <si>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</si>
  <si>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</si>
  <si>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</si>
  <si>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</si>
  <si>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</si>
  <si>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</si>
  <si>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</si>
  <si>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</si>
  <si>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</si>
  <si>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</si>
  <si>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</si>
  <si>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</si>
  <si>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</si>
  <si>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</si>
  <si>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</si>
  <si>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</si>
  <si>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</si>
  <si>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</si>
  <si>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</si>
  <si>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</si>
  <si>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</si>
  <si>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</si>
  <si>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</si>
  <si>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</si>
  <si>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</si>
  <si>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</si>
  <si>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</si>
  <si>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</si>
  <si>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</si>
  <si>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</si>
  <si>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</si>
  <si>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</si>
  <si>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</si>
  <si>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</si>
  <si>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</si>
  <si>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</si>
  <si>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</si>
  <si>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</si>
  <si>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</si>
  <si>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</si>
  <si>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</si>
  <si>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Item name: Ill Omen</t>
  </si>
  <si>
    <t>Ill Omen</t>
  </si>
  <si>
    <t>Item description: Ill Omen</t>
  </si>
  <si>
    <t>Relic. A cursed bow that brings misfortune to those it is aimed at. Inflicts a curse when it hits that deals damage after a delay.</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</si>
  <si>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</si>
  <si>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</si>
  <si>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</si>
  <si>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</si>
  <si>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</si>
  <si>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</si>
  <si>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</si>
  <si>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</si>
  <si>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</si>
  <si>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</si>
  <si>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</si>
  <si>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</si>
  <si>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</si>
  <si>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</si>
  <si>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</si>
  <si>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</si>
  <si>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</si>
  <si>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</si>
  <si>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</si>
  <si>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</si>
  <si>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</si>
  <si>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</si>
  <si>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</si>
  <si>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</si>
  <si>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</si>
  <si>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</si>
  <si>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</si>
  <si>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</si>
  <si>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</si>
  <si>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</si>
  <si>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</si>
  <si>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</si>
  <si>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</si>
  <si>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</si>
  <si>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</si>
  <si>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</si>
  <si>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</si>
  <si>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</si>
  <si>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</si>
  <si>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</si>
  <si>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</si>
  <si>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</si>
  <si>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</si>
  <si>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</si>
  <si>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</si>
  <si>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</si>
  <si>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</si>
  <si>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</si>
  <si>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</si>
  <si>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</si>
  <si>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</si>
  <si>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</si>
  <si>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</si>
  <si>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</si>
  <si>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</si>
  <si>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</si>
  <si>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</si>
  <si>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</si>
  <si>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</si>
  <si>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</si>
  <si>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</si>
  <si>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</si>
  <si>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</si>
  <si>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</si>
  <si>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</si>
  <si>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</si>
  <si>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</si>
  <si>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</si>
  <si>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</si>
  <si>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</si>
  <si>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</si>
  <si>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</si>
  <si>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</si>
  <si>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</si>
  <si>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</si>
  <si>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</si>
  <si>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</si>
  <si>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</si>
  <si>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</si>
  <si>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</si>
  <si>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</si>
  <si>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</si>
  <si>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</si>
  <si>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</si>
  <si>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</si>
  <si>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</si>
  <si>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</si>
  <si>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</si>
  <si>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</si>
  <si>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</si>
  <si>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</si>
  <si>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</si>
  <si>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</si>
  <si>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</si>
  <si>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</si>
  <si>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</si>
  <si>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</si>
  <si>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</si>
  <si>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</si>
  <si>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</si>
  <si>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</si>
  <si>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</si>
  <si>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</si>
  <si>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</si>
  <si>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</si>
  <si>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</si>
  <si>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</si>
  <si>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</si>
  <si>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</si>
  <si>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</si>
  <si>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</si>
  <si>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</si>
  <si>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</si>
  <si>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</si>
  <si>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</si>
  <si>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</si>
  <si>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</si>
  <si>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</si>
  <si>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</si>
  <si>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</si>
  <si>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</si>
  <si>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</si>
  <si>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</si>
  <si>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</si>
  <si>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</si>
  <si>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</si>
  <si>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</si>
  <si>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</si>
  <si>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</si>
  <si>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</si>
  <si>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</si>
  <si>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</si>
  <si>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</si>
  <si>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</si>
  <si>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</si>
  <si>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</si>
  <si>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</si>
  <si>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</si>
  <si>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</si>
  <si>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</si>
  <si>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</si>
  <si>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</si>
  <si>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</si>
  <si>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</si>
  <si>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</si>
  <si>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</si>
  <si>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</si>
  <si>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</si>
  <si>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</si>
  <si>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</si>
  <si>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</si>
  <si>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</si>
  <si>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</si>
  <si>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</si>
  <si>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</si>
  <si>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</si>
  <si>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</si>
  <si>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</si>
  <si>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</si>
  <si>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</si>
  <si>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</si>
  <si>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</si>
  <si>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</si>
  <si>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</si>
  <si>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</si>
  <si>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</si>
  <si>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</si>
  <si>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</si>
  <si>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</si>
  <si>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</si>
  <si>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</si>
  <si>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</si>
  <si>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</si>
  <si>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</si>
  <si>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</si>
  <si>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</si>
  <si>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</si>
  <si>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</si>
  <si>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</si>
  <si>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</si>
  <si>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</si>
  <si>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</si>
  <si>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</si>
  <si>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</si>
  <si>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</si>
  <si>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</si>
  <si>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</si>
  <si>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</si>
  <si>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</si>
  <si>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</si>
  <si>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</si>
  <si>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</si>
  <si>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</si>
  <si>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</si>
  <si>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</si>
  <si>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</si>
  <si>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</si>
  <si>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</si>
  <si>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</si>
  <si>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</si>
  <si>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</si>
  <si>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</si>
  <si>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</si>
  <si>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</si>
  <si>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</si>
  <si>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</si>
  <si>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</si>
  <si>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</si>
  <si>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</si>
  <si>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</si>
  <si>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</si>
  <si>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</si>
  <si>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</si>
  <si>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</si>
  <si>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</si>
  <si>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</si>
  <si>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</si>
  <si>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</si>
  <si>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</si>
  <si>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</si>
  <si>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</si>
  <si>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</si>
  <si>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</si>
  <si>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</si>
  <si>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</si>
  <si>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</si>
  <si>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</si>
  <si>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</si>
  <si>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</si>
  <si>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</si>
  <si>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</si>
  <si>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</si>
  <si>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</si>
  <si>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</si>
  <si>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</si>
  <si>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</si>
  <si>
    <t>Stay</t>
  </si>
  <si>
    <t>Leave dungeon panel: title</t>
  </si>
  <si>
    <t>Leave dungeon panel: info</t>
  </si>
  <si>
    <t>Leave Dungeon</t>
  </si>
  <si>
    <t>Your stats, items, and glory will remain unchanged.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</si>
</sst>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name val="Arial"/>
    </font>
    <font>
      <b/>
      <sz val="10"/>
      <name val="Arial"/>
    </font>
    <font>
      <b/>
      <sz val="14"/>
      <color rgb="FFFFFFFF"/>
      <name val="Arial"/>
    </font>
    <font>
      <b/>
      <sz val="10"/>
      <color rgb="FFFFFFFF"/>
      <name val="Arial"/>
    </font>
    <font>
      <i/>
      <sz val="9"/>
      <color rgb="FF000000"/>
      <name val="Arial"/>
    </font>
    <font>
      <b/>
      <sz val="10"/>
      <color rgb="FFFFFFFF"/>
      <name val="Arial"/>
    </font>
    <font>
      <sz val="10"/>
      <color rgb="FF999999"/>
      <name val="Arial"/>
    </font>
    <font>
      <sz val="10"/>
      <color rgb="FF999999"/>
      <name val="Arial"/>
    </font>
    <font>
      <sz val="10"/>
      <name val="Arial"/>
    </font>
  </fonts>
  <fills count="6">
    <fill>
      <patternFill patternType="none"/>
    </fill>
    <fill>
      <patternFill patternType="gray125"/>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wrapText="1"/>
    </xf>
    <xf numFmtId="0" fontId="2" fillId="2" borderId="1" xfId="0" applyFont="1" applyFill="1" applyBorder="1" applyAlignment="1">
      <alignment wrapText="1"/>
    </xf>
    <xf numFmtId="0" fontId="3" fillId="2" borderId="0" xfId="0" applyFont="1" applyFill="1" applyAlignment="1">
      <alignment horizontal="center"/>
    </xf>
    <xf numFmtId="0" fontId="1" fillId="2" borderId="2" xfId="0" applyFont="1" applyFill="1" applyBorder="1" applyAlignment="1">
      <alignment wrapText="1"/>
    </xf>
    <xf numFmtId="0" fontId="1" fillId="2" borderId="3" xfId="0" applyFont="1" applyFill="1" applyBorder="1" applyAlignment="1">
      <alignment wrapText="1"/>
    </xf>
    <xf numFmtId="0" fontId="1" fillId="2" borderId="0" xfId="0" applyFont="1" applyFill="1" applyAlignment="1">
      <alignment wrapText="1"/>
    </xf>
    <xf numFmtId="0" fontId="4" fillId="2" borderId="1" xfId="0" applyFont="1" applyFill="1" applyBorder="1" applyAlignment="1">
      <alignment wrapText="1"/>
    </xf>
    <xf numFmtId="0" fontId="4" fillId="2" borderId="0" xfId="0" applyFont="1" applyFill="1" applyAlignment="1">
      <alignment horizontal="center"/>
    </xf>
    <xf numFmtId="0" fontId="4" fillId="2" borderId="3" xfId="0" applyFont="1" applyFill="1" applyBorder="1" applyAlignment="1">
      <alignment horizontal="left"/>
    </xf>
    <xf numFmtId="0" fontId="1" fillId="2" borderId="1" xfId="0" applyFont="1" applyFill="1" applyBorder="1" applyAlignment="1"/>
    <xf numFmtId="0" fontId="1" fillId="2" borderId="1" xfId="0" applyFont="1" applyFill="1" applyBorder="1"/>
    <xf numFmtId="0" fontId="1" fillId="2" borderId="2" xfId="0" applyFont="1" applyFill="1" applyBorder="1"/>
    <xf numFmtId="0" fontId="1" fillId="3" borderId="1" xfId="0" applyFont="1" applyFill="1" applyBorder="1" applyAlignment="1"/>
    <xf numFmtId="0" fontId="5" fillId="3" borderId="0" xfId="0" applyFont="1" applyFill="1" applyAlignment="1">
      <alignment horizontal="center"/>
    </xf>
    <xf numFmtId="0" fontId="1" fillId="3" borderId="1" xfId="0" applyFont="1" applyFill="1" applyBorder="1"/>
    <xf numFmtId="0" fontId="1" fillId="2" borderId="1" xfId="0" applyFont="1" applyFill="1" applyBorder="1" applyAlignment="1">
      <alignment horizontal="center" wrapText="1"/>
    </xf>
    <xf numFmtId="10" fontId="6" fillId="2" borderId="1" xfId="0" applyNumberFormat="1" applyFont="1" applyFill="1" applyBorder="1" applyAlignment="1">
      <alignment horizontal="center" vertical="top" wrapText="1"/>
    </xf>
    <xf numFmtId="0" fontId="4" fillId="2" borderId="3"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wrapText="1"/>
    </xf>
    <xf numFmtId="0" fontId="7" fillId="2"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5" borderId="2" xfId="0" applyFont="1" applyFill="1" applyBorder="1" applyAlignment="1">
      <alignment vertical="top" wrapText="1"/>
    </xf>
    <xf numFmtId="0" fontId="1" fillId="5" borderId="3" xfId="0" applyFont="1" applyFill="1" applyBorder="1" applyAlignment="1">
      <alignment vertical="top" wrapText="1"/>
    </xf>
    <xf numFmtId="0" fontId="1" fillId="5" borderId="0" xfId="0" applyFont="1" applyFill="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8" fillId="2" borderId="0" xfId="0" applyFont="1" applyFill="1" applyAlignment="1">
      <alignment horizontal="left" vertical="top" wrapText="1"/>
    </xf>
    <xf numFmtId="0" fontId="1" fillId="5" borderId="1" xfId="0" applyFont="1" applyFill="1" applyBorder="1" applyAlignment="1">
      <alignment vertical="top" wrapText="1"/>
    </xf>
    <xf numFmtId="0" fontId="1" fillId="5" borderId="2" xfId="0" applyFont="1" applyFill="1" applyBorder="1" applyAlignment="1">
      <alignment vertical="top" wrapText="1"/>
    </xf>
    <xf numFmtId="0" fontId="1" fillId="5" borderId="3" xfId="0" applyFont="1" applyFill="1" applyBorder="1" applyAlignment="1">
      <alignment vertical="top" wrapText="1"/>
    </xf>
    <xf numFmtId="0" fontId="1" fillId="5" borderId="0" xfId="0" applyFont="1" applyFill="1" applyAlignment="1">
      <alignment vertical="top" wrapText="1"/>
    </xf>
    <xf numFmtId="0" fontId="7" fillId="2" borderId="1" xfId="0" applyFont="1" applyFill="1" applyBorder="1" applyAlignment="1">
      <alignment vertical="top" wrapText="1"/>
    </xf>
    <xf numFmtId="0" fontId="1" fillId="4" borderId="1" xfId="0" applyFont="1" applyFill="1" applyBorder="1" applyAlignment="1">
      <alignment vertical="top"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8" fillId="2" borderId="1" xfId="0" applyFont="1" applyFill="1" applyBorder="1" applyAlignment="1">
      <alignment vertical="top" wrapText="1"/>
    </xf>
    <xf numFmtId="0" fontId="8" fillId="2" borderId="0" xfId="0" applyFont="1" applyFill="1" applyAlignment="1">
      <alignment horizontal="left"/>
    </xf>
    <xf numFmtId="0" fontId="8" fillId="2" borderId="1" xfId="0" applyFont="1" applyFill="1" applyBorder="1" applyAlignment="1">
      <alignment vertical="top" wrapText="1"/>
    </xf>
    <xf numFmtId="0" fontId="9" fillId="4"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65"/>
  <sheetViews>
    <sheetView tabSelected="1" topLeftCell="A182" workbookViewId="0">
      <selection activeCell="B199" sqref="B199"/>
    </sheetView>
  </sheetViews>
  <sheetFormatPr baseColWidth="10" defaultColWidth="14.5" defaultRowHeight="15.75" customHeight="1" x14ac:dyDescent="0.15"/>
  <cols>
    <col min="1" max="1" width="25.5" customWidth="1"/>
    <col min="2" max="12" width="19.5" customWidth="1"/>
  </cols>
  <sheetData>
    <row r="1" spans="1:28" ht="18" x14ac:dyDescent="0.2">
      <c r="A1" s="1"/>
      <c r="B1" s="2"/>
      <c r="C1" s="1"/>
      <c r="D1" s="3" t="s">
        <v>0</v>
      </c>
      <c r="E1" s="1"/>
      <c r="F1" s="1"/>
      <c r="G1" s="1"/>
      <c r="H1" s="4"/>
      <c r="I1" s="1"/>
      <c r="J1" s="5"/>
      <c r="K1" s="5"/>
      <c r="L1" s="6"/>
      <c r="M1" s="6"/>
      <c r="N1" s="6"/>
      <c r="O1" s="6"/>
      <c r="P1" s="6"/>
      <c r="Q1" s="6"/>
      <c r="R1" s="6"/>
      <c r="S1" s="6"/>
      <c r="T1" s="6"/>
      <c r="U1" s="6"/>
      <c r="V1" s="6"/>
      <c r="W1" s="6"/>
      <c r="X1" s="6"/>
      <c r="Y1" s="6"/>
      <c r="Z1" s="6"/>
      <c r="AA1" s="6"/>
      <c r="AB1" s="6"/>
    </row>
    <row r="2" spans="1:28" ht="15.75" customHeight="1" x14ac:dyDescent="0.15">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spans="1:28" ht="15.75" customHeight="1" x14ac:dyDescent="0.15">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spans="1:28" ht="15.75" customHeight="1" x14ac:dyDescent="0.15">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spans="1:28" ht="15.75" customHeight="1" x14ac:dyDescent="0.1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spans="1:28" ht="15.75" customHeight="1" x14ac:dyDescent="0.15">
      <c r="A6" s="1"/>
      <c r="B6" s="10"/>
      <c r="C6" s="10"/>
      <c r="D6" s="10"/>
      <c r="E6" s="11"/>
      <c r="F6" s="10"/>
      <c r="G6" s="11"/>
      <c r="H6" s="12"/>
      <c r="I6" s="1"/>
      <c r="J6" s="9"/>
      <c r="K6" s="5"/>
      <c r="L6" s="6"/>
      <c r="M6" s="6"/>
      <c r="N6" s="6"/>
      <c r="O6" s="6"/>
      <c r="P6" s="6"/>
      <c r="Q6" s="6"/>
      <c r="R6" s="6"/>
      <c r="S6" s="6"/>
      <c r="T6" s="6"/>
      <c r="U6" s="6"/>
      <c r="V6" s="6"/>
      <c r="W6" s="6"/>
      <c r="X6" s="6"/>
      <c r="Y6" s="6"/>
      <c r="Z6" s="6"/>
      <c r="AA6" s="6"/>
      <c r="AB6" s="6"/>
    </row>
    <row r="7" spans="1:28" ht="15.75" customHeight="1" x14ac:dyDescent="0.15">
      <c r="A7" s="16"/>
      <c r="B7" s="17"/>
      <c r="C7" s="17"/>
      <c r="D7" s="17"/>
      <c r="E7" s="17"/>
      <c r="F7" s="17"/>
      <c r="G7" s="17"/>
      <c r="H7" s="17"/>
      <c r="I7" s="1"/>
      <c r="J7" s="5"/>
      <c r="K7" s="5"/>
      <c r="L7" s="6"/>
      <c r="M7" s="6"/>
      <c r="N7" s="6"/>
      <c r="O7" s="6"/>
      <c r="P7" s="6"/>
      <c r="Q7" s="6"/>
      <c r="R7" s="6"/>
      <c r="S7" s="6"/>
      <c r="T7" s="6"/>
      <c r="U7" s="6"/>
      <c r="V7" s="6"/>
      <c r="W7" s="6"/>
      <c r="X7" s="6"/>
      <c r="Y7" s="6"/>
      <c r="Z7" s="6"/>
      <c r="AA7" s="6"/>
      <c r="AB7" s="6"/>
    </row>
    <row r="8" spans="1:28" ht="15.75" customHeight="1" x14ac:dyDescent="0.15">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spans="1:28" ht="15.75" customHeight="1" x14ac:dyDescent="0.15">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spans="1:28" ht="15.75" customHeight="1" x14ac:dyDescent="0.15">
      <c r="A10" s="21" t="s">
        <v>31</v>
      </c>
      <c r="B10" s="22" t="s">
        <v>31</v>
      </c>
      <c r="C10" s="23" t="str">
        <f ca="1">IFERROR(__xludf.DUMMYFUNCTION("GOOGLETRANSLATE(B10, ""en"", ""fr"")"),"Langue")</f>
        <v>Langue</v>
      </c>
      <c r="D10" s="23" t="str">
        <f ca="1">IFERROR(__xludf.DUMMYFUNCTION("GOOGLETRANSLATE(B10, ""en"", ""es"")"),"Idioma")</f>
        <v>Idioma</v>
      </c>
      <c r="E10" s="23" t="str">
        <f ca="1">IFERROR(__xludf.DUMMYFUNCTION("GOOGLETRANSLATE(B10, ""en"", ""ru"")"),"Язык")</f>
        <v>Язык</v>
      </c>
      <c r="F10" s="23" t="str">
        <f ca="1">IFERROR(__xludf.DUMMYFUNCTION("GOOGLETRANSLATE(B10, ""en"", ""tr"")"),"Dilim")</f>
        <v>Dilim</v>
      </c>
      <c r="G10" s="23" t="str">
        <f ca="1">IFERROR(__xludf.DUMMYFUNCTION("GOOGLETRANSLATE(B10, ""en"", ""pt"")"),"Língua")</f>
        <v>Língua</v>
      </c>
      <c r="H10" s="24" t="str">
        <f ca="1">IFERROR(__xludf.DUMMYFUNCTION("GOOGLETRANSLATE(B10, ""en"", ""de"")"),"Sprache")</f>
        <v>Sprache</v>
      </c>
      <c r="I10" s="23" t="str">
        <f ca="1">IFERROR(__xludf.DUMMYFUNCTION("GOOGLETRANSLATE(B10, ""en"", ""pl"")"),"Język")</f>
        <v>Język</v>
      </c>
      <c r="J10" s="25" t="str">
        <f ca="1">IFERROR(__xludf.DUMMYFUNCTION("GOOGLETRANSLATE(B10, ""en"", ""zh"")"),"语")</f>
        <v>语</v>
      </c>
      <c r="K10" s="25" t="str">
        <f ca="1">IFERROR(__xludf.DUMMYFUNCTION("GOOGLETRANSLATE(B10, ""en"", ""vi"")"),"Ngôn ngữ")</f>
        <v>Ngôn ngữ</v>
      </c>
      <c r="L10" s="26" t="str">
        <f ca="1">IFERROR(__xludf.DUMMYFUNCTION("GOOGLETRANSLATE(B10, ""en"", ""hr"")"),"Jezik")</f>
        <v>Jezik</v>
      </c>
      <c r="M10" s="27"/>
      <c r="N10" s="28"/>
      <c r="O10" s="28"/>
      <c r="P10" s="28"/>
      <c r="Q10" s="28"/>
      <c r="R10" s="28"/>
      <c r="S10" s="28"/>
      <c r="T10" s="28"/>
      <c r="U10" s="28"/>
      <c r="V10" s="28"/>
      <c r="W10" s="28"/>
      <c r="X10" s="28"/>
      <c r="Y10" s="28"/>
      <c r="Z10" s="28"/>
      <c r="AA10" s="28"/>
      <c r="AB10" s="28"/>
    </row>
    <row r="11" spans="1:28" ht="15.75" customHeight="1" x14ac:dyDescent="0.15">
      <c r="A11" s="21" t="s">
        <v>32</v>
      </c>
      <c r="B11" s="22" t="s">
        <v>33</v>
      </c>
      <c r="C11" s="23" t="str">
        <f ca="1">IFERROR(__xludf.DUMMYFUNCTION("GOOGLETRANSLATE(B11, ""en"", ""fr"")"),"Ajouter une traduction")</f>
        <v>Ajouter une traduction</v>
      </c>
      <c r="D11" s="23" t="str">
        <f ca="1">IFERROR(__xludf.DUMMYFUNCTION("GOOGLETRANSLATE(B11, ""en"", ""es"")"),"Añadir una traducción")</f>
        <v>Añadir una traducción</v>
      </c>
      <c r="E11" s="23" t="str">
        <f ca="1">IFERROR(__xludf.DUMMYFUNCTION("GOOGLETRANSLATE(B11, ""en"", ""ru"")"),"Добавить перевод")</f>
        <v>Добавить перевод</v>
      </c>
      <c r="F11" s="23" t="str">
        <f ca="1">IFERROR(__xludf.DUMMYFUNCTION("GOOGLETRANSLATE(B11, ""en"", ""tr"")"),"Bir çeviri ekle")</f>
        <v>Bir çeviri ekle</v>
      </c>
      <c r="G11" s="23" t="str">
        <f ca="1">IFERROR(__xludf.DUMMYFUNCTION("GOOGLETRANSLATE(B11, ""en"", ""pt"")"),"Adicione uma tradução")</f>
        <v>Adicione uma tradução</v>
      </c>
      <c r="H11" s="24" t="str">
        <f ca="1">IFERROR(__xludf.DUMMYFUNCTION("GOOGLETRANSLATE(B11, ""en"", ""de"")"),"Eine Übersetzung hinzufügen")</f>
        <v>Eine Übersetzung hinzufügen</v>
      </c>
      <c r="I11" s="23" t="str">
        <f ca="1">IFERROR(__xludf.DUMMYFUNCTION("GOOGLETRANSLATE(B11, ""en"", ""pl"")"),"Dodaj tłumaczenie")</f>
        <v>Dodaj tłumaczenie</v>
      </c>
      <c r="J11" s="25" t="str">
        <f ca="1">IFERROR(__xludf.DUMMYFUNCTION("GOOGLETRANSLATE(B11, ""en"", ""zh"")"),"添加翻译")</f>
        <v>添加翻译</v>
      </c>
      <c r="K11" s="25" t="str">
        <f ca="1">IFERROR(__xludf.DUMMYFUNCTION("GOOGLETRANSLATE(B11, ""en"", ""vi"")"),"Thêm một bản dịch")</f>
        <v>Thêm một bản dịch</v>
      </c>
      <c r="L11" s="26" t="str">
        <f ca="1">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spans="1:28" ht="15.75" customHeight="1" x14ac:dyDescent="0.15">
      <c r="A12" s="21" t="s">
        <v>34</v>
      </c>
      <c r="B12" s="22" t="s">
        <v>34</v>
      </c>
      <c r="C12" s="23" t="s">
        <v>35</v>
      </c>
      <c r="D12" s="23" t="str">
        <f ca="1">IFERROR(__xludf.DUMMYFUNCTION("GOOGLETRANSLATE(B12, ""en"", ""es"")"),"Noticias")</f>
        <v>Noticias</v>
      </c>
      <c r="E12" s="23" t="str">
        <f ca="1">IFERROR(__xludf.DUMMYFUNCTION("GOOGLETRANSLATE(B12, ""en"", ""ru"")"),"Новости")</f>
        <v>Новости</v>
      </c>
      <c r="F12" s="23" t="str">
        <f ca="1">IFERROR(__xludf.DUMMYFUNCTION("GOOGLETRANSLATE(B12, ""en"", ""tr"")"),"Haberler")</f>
        <v>Haberler</v>
      </c>
      <c r="G12" s="23" t="str">
        <f ca="1">IFERROR(__xludf.DUMMYFUNCTION("GOOGLETRANSLATE(B12, ""en"", ""pt"")"),"Notícia")</f>
        <v>Notícia</v>
      </c>
      <c r="H12" s="24" t="str">
        <f ca="1">IFERROR(__xludf.DUMMYFUNCTION("GOOGLETRANSLATE(B12, ""en"", ""de"")"),"Nachrichten")</f>
        <v>Nachrichten</v>
      </c>
      <c r="I12" s="23" t="str">
        <f ca="1">IFERROR(__xludf.DUMMYFUNCTION("GOOGLETRANSLATE(B12, ""en"", ""pl"")"),"Aktualności")</f>
        <v>Aktualności</v>
      </c>
      <c r="J12" s="25" t="str">
        <f ca="1">IFERROR(__xludf.DUMMYFUNCTION("GOOGLETRANSLATE(B12, ""en"", ""zh"")"),"消息")</f>
        <v>消息</v>
      </c>
      <c r="K12" s="25" t="str">
        <f ca="1">IFERROR(__xludf.DUMMYFUNCTION("GOOGLETRANSLATE(B12, ""en"", ""vi"")"),"Tin tức")</f>
        <v>Tin tức</v>
      </c>
      <c r="L12" s="26" t="str">
        <f ca="1">IFERROR(__xludf.DUMMYFUNCTION("GOOGLETRANSLATE(B12, ""en"", ""hr"")"),"Vijesti")</f>
        <v>Vijesti</v>
      </c>
      <c r="M12" s="27"/>
      <c r="N12" s="28"/>
      <c r="O12" s="28"/>
      <c r="P12" s="28"/>
      <c r="Q12" s="28"/>
      <c r="R12" s="28"/>
      <c r="S12" s="28"/>
      <c r="T12" s="28"/>
      <c r="U12" s="28"/>
      <c r="V12" s="28"/>
      <c r="W12" s="28"/>
      <c r="X12" s="28"/>
      <c r="Y12" s="28"/>
      <c r="Z12" s="28"/>
      <c r="AA12" s="28"/>
      <c r="AB12" s="28"/>
    </row>
    <row r="13" spans="1:28" ht="15.75" customHeight="1" x14ac:dyDescent="0.15">
      <c r="A13" s="21" t="s">
        <v>36</v>
      </c>
      <c r="B13" s="22" t="s">
        <v>36</v>
      </c>
      <c r="C13" s="23" t="str">
        <f ca="1">IFERROR(__xludf.DUMMYFUNCTION("GOOGLETRANSLATE(B13, ""en"", ""fr"")"),"Nouveau personnage")</f>
        <v>Nouveau personnage</v>
      </c>
      <c r="D13" s="23" t="str">
        <f ca="1">IFERROR(__xludf.DUMMYFUNCTION("GOOGLETRANSLATE(B13, ""en"", ""es"")"),"Nuevo personaje")</f>
        <v>Nuevo personaje</v>
      </c>
      <c r="E13" s="23" t="s">
        <v>37</v>
      </c>
      <c r="F13" s="23" t="str">
        <f ca="1">IFERROR(__xludf.DUMMYFUNCTION("GOOGLETRANSLATE(B13, ""en"", ""tr"")"),"Yeni karakter")</f>
        <v>Yeni karakter</v>
      </c>
      <c r="G13" s="23" t="str">
        <f ca="1">IFERROR(__xludf.DUMMYFUNCTION("GOOGLETRANSLATE(B13, ""en"", ""pt"")"),"Novo personagem")</f>
        <v>Novo personagem</v>
      </c>
      <c r="H13" s="24" t="str">
        <f ca="1">IFERROR(__xludf.DUMMYFUNCTION("GOOGLETRANSLATE(B13, ""en"", ""de"")"),"Neuer Charakter")</f>
        <v>Neuer Charakter</v>
      </c>
      <c r="I13" s="23" t="str">
        <f ca="1">IFERROR(__xludf.DUMMYFUNCTION("GOOGLETRANSLATE(B13, ""en"", ""pl"")"),"Nowa postać")</f>
        <v>Nowa postać</v>
      </c>
      <c r="J13" s="25" t="str">
        <f ca="1">IFERROR(__xludf.DUMMYFUNCTION("GOOGLETRANSLATE(B13, ""en"", ""zh"")"),"新品格")</f>
        <v>新品格</v>
      </c>
      <c r="K13" s="25" t="str">
        <f ca="1">IFERROR(__xludf.DUMMYFUNCTION("GOOGLETRANSLATE(B13, ""en"", ""vi"")"),"Nhân vật mới")</f>
        <v>Nhân vật mới</v>
      </c>
      <c r="L13" s="26" t="str">
        <f ca="1">IFERROR(__xludf.DUMMYFUNCTION("GOOGLETRANSLATE(B13, ""en"", ""hr"")"),"Novi lik")</f>
        <v>Novi lik</v>
      </c>
      <c r="M13" s="27"/>
      <c r="N13" s="28"/>
      <c r="O13" s="28"/>
      <c r="P13" s="28"/>
      <c r="Q13" s="28"/>
      <c r="R13" s="28"/>
      <c r="S13" s="28"/>
      <c r="T13" s="28"/>
      <c r="U13" s="28"/>
      <c r="V13" s="28"/>
      <c r="W13" s="28"/>
      <c r="X13" s="28"/>
      <c r="Y13" s="28"/>
      <c r="Z13" s="28"/>
      <c r="AA13" s="28"/>
      <c r="AB13" s="28"/>
    </row>
    <row r="14" spans="1:28" ht="15.75" customHeight="1" x14ac:dyDescent="0.15">
      <c r="A14" s="21" t="s">
        <v>38</v>
      </c>
      <c r="B14" s="22" t="s">
        <v>38</v>
      </c>
      <c r="C14" s="23" t="str">
        <f ca="1">IFERROR(__xludf.DUMMYFUNCTION("GOOGLETRANSLATE(B14, ""en"", ""fr"")"),"Continuer")</f>
        <v>Continuer</v>
      </c>
      <c r="D14" s="23" t="str">
        <f ca="1">IFERROR(__xludf.DUMMYFUNCTION("GOOGLETRANSLATE(B14, ""en"", ""es"")"),"Continuar")</f>
        <v>Continuar</v>
      </c>
      <c r="E14" s="23" t="s">
        <v>39</v>
      </c>
      <c r="F14" s="23" t="str">
        <f ca="1">IFERROR(__xludf.DUMMYFUNCTION("GOOGLETRANSLATE(B14, ""en"", ""tr"")"),"Devam et")</f>
        <v>Devam et</v>
      </c>
      <c r="G14" s="23" t="str">
        <f ca="1">IFERROR(__xludf.DUMMYFUNCTION("GOOGLETRANSLATE(B14, ""en"", ""pt"")"),"Prosseguir")</f>
        <v>Prosseguir</v>
      </c>
      <c r="H14" s="24" t="str">
        <f ca="1">IFERROR(__xludf.DUMMYFUNCTION("GOOGLETRANSLATE(B14, ""en"", ""de"")"),"Weitermachen")</f>
        <v>Weitermachen</v>
      </c>
      <c r="I14" s="23" t="str">
        <f ca="1">IFERROR(__xludf.DUMMYFUNCTION("GOOGLETRANSLATE(B14, ""en"", ""pl"")"),"Kontyntynuj")</f>
        <v>Kontyntynuj</v>
      </c>
      <c r="J14" s="25" t="str">
        <f ca="1">IFERROR(__xludf.DUMMYFUNCTION("GOOGLETRANSLATE(B14, ""en"", ""zh"")"),"继续")</f>
        <v>继续</v>
      </c>
      <c r="K14" s="25" t="str">
        <f ca="1">IFERROR(__xludf.DUMMYFUNCTION("GOOGLETRANSLATE(B14, ""en"", ""vi"")"),"Tiếp tục")</f>
        <v>Tiếp tục</v>
      </c>
      <c r="L14" s="26" t="str">
        <f ca="1">IFERROR(__xludf.DUMMYFUNCTION("GOOGLETRANSLATE(B14, ""en"", ""hr"")"),"Nastaviti")</f>
        <v>Nastaviti</v>
      </c>
      <c r="M14" s="27"/>
      <c r="N14" s="28"/>
      <c r="O14" s="28"/>
      <c r="P14" s="28"/>
      <c r="Q14" s="28"/>
      <c r="R14" s="28"/>
      <c r="S14" s="28"/>
      <c r="T14" s="28"/>
      <c r="U14" s="28"/>
      <c r="V14" s="28"/>
      <c r="W14" s="28"/>
      <c r="X14" s="28"/>
      <c r="Y14" s="28"/>
      <c r="Z14" s="28"/>
      <c r="AA14" s="28"/>
      <c r="AB14" s="28"/>
    </row>
    <row r="15" spans="1:28" ht="15.75" customHeight="1" x14ac:dyDescent="0.15">
      <c r="A15" s="21" t="s">
        <v>40</v>
      </c>
      <c r="B15" s="22" t="s">
        <v>41</v>
      </c>
      <c r="C15" s="23" t="str">
        <f ca="1">IFERROR(__xludf.DUMMYFUNCTION("GOOGLETRANSLATE(B15, ""en"", ""fr"")"),"Entrez un nom")</f>
        <v>Entrez un nom</v>
      </c>
      <c r="D15" s="23" t="str">
        <f ca="1">IFERROR(__xludf.DUMMYFUNCTION("GOOGLETRANSLATE(B15, ""en"", ""es"")"),"Ingresa un nombre")</f>
        <v>Ingresa un nombre</v>
      </c>
      <c r="E15" s="23" t="str">
        <f ca="1">IFERROR(__xludf.DUMMYFUNCTION("GOOGLETRANSLATE(B15, ""en"", ""ru"")"),"Введите имя")</f>
        <v>Введите имя</v>
      </c>
      <c r="F15" s="23" t="str">
        <f ca="1">IFERROR(__xludf.DUMMYFUNCTION("GOOGLETRANSLATE(B15, ""en"", ""tr"")"),"İsim girin")</f>
        <v>İsim girin</v>
      </c>
      <c r="G15" s="23" t="str">
        <f ca="1">IFERROR(__xludf.DUMMYFUNCTION("GOOGLETRANSLATE(B15, ""en"", ""pt"")"),"Insira o nome")</f>
        <v>Insira o nome</v>
      </c>
      <c r="H15" s="24" t="str">
        <f ca="1">IFERROR(__xludf.DUMMYFUNCTION("GOOGLETRANSLATE(B15, ""en"", ""de"")"),"Geben Sie einen Namen ein")</f>
        <v>Geben Sie einen Namen ein</v>
      </c>
      <c r="I15" s="23" t="str">
        <f ca="1">IFERROR(__xludf.DUMMYFUNCTION("GOOGLETRANSLATE(B15, ""en"", ""pl"")"),"Wpisz imię")</f>
        <v>Wpisz imię</v>
      </c>
      <c r="J15" s="25" t="str">
        <f ca="1">IFERROR(__xludf.DUMMYFUNCTION("GOOGLETRANSLATE(B15, ""en"", ""zh"")"),"输入名称")</f>
        <v>输入名称</v>
      </c>
      <c r="K15" s="25" t="str">
        <f ca="1">IFERROR(__xludf.DUMMYFUNCTION("GOOGLETRANSLATE(B15, ""en"", ""vi"")"),"Nhập tên")</f>
        <v>Nhập tên</v>
      </c>
      <c r="L15" s="26" t="str">
        <f ca="1">IFERROR(__xludf.DUMMYFUNCTION("GOOGLETRANSLATE(B15, ""en"", ""hr"")"),"Unesite ime")</f>
        <v>Unesite ime</v>
      </c>
      <c r="M15" s="27"/>
      <c r="N15" s="28"/>
      <c r="O15" s="28"/>
      <c r="P15" s="28"/>
      <c r="Q15" s="28"/>
      <c r="R15" s="28"/>
      <c r="S15" s="28"/>
      <c r="T15" s="28"/>
      <c r="U15" s="28"/>
      <c r="V15" s="28"/>
      <c r="W15" s="28"/>
      <c r="X15" s="28"/>
      <c r="Y15" s="28"/>
      <c r="Z15" s="28"/>
      <c r="AA15" s="28"/>
      <c r="AB15" s="28"/>
    </row>
    <row r="16" spans="1:28" ht="15.75" customHeight="1" x14ac:dyDescent="0.15">
      <c r="A16" s="21" t="s">
        <v>42</v>
      </c>
      <c r="B16" s="22" t="s">
        <v>43</v>
      </c>
      <c r="C16" s="23" t="str">
        <f ca="1">IFERROR(__xludf.DUMMYFUNCTION("GOOGLETRANSLATE(B16, ""en"", ""fr"")"),"Nom d'utilisateur")</f>
        <v>Nom d'utilisateur</v>
      </c>
      <c r="D16" s="23" t="str">
        <f ca="1">IFERROR(__xludf.DUMMYFUNCTION("GOOGLETRANSLATE(B16, ""en"", ""es"")"),"Nombre de usuario")</f>
        <v>Nombre de usuario</v>
      </c>
      <c r="E16" s="23" t="str">
        <f ca="1">IFERROR(__xludf.DUMMYFUNCTION("GOOGLETRANSLATE(B16, ""en"", ""ru"")"),"Имя пользователя")</f>
        <v>Имя пользователя</v>
      </c>
      <c r="F16" s="23" t="str">
        <f ca="1">IFERROR(__xludf.DUMMYFUNCTION("GOOGLETRANSLATE(B16, ""en"", ""tr"")"),"Kullanıcı adı")</f>
        <v>Kullanıcı adı</v>
      </c>
      <c r="G16" s="23" t="str">
        <f ca="1">IFERROR(__xludf.DUMMYFUNCTION("GOOGLETRANSLATE(B16, ""en"", ""pt"")"),"Nome do usuário")</f>
        <v>Nome do usuário</v>
      </c>
      <c r="H16" s="24" t="str">
        <f ca="1">IFERROR(__xludf.DUMMYFUNCTION("GOOGLETRANSLATE(B16, ""en"", ""de"")"),"Nutzername")</f>
        <v>Nutzername</v>
      </c>
      <c r="I16" s="23" t="str">
        <f ca="1">IFERROR(__xludf.DUMMYFUNCTION("GOOGLETRANSLATE(B16, ""en"", ""pl"")"),"Nazwa użytkownika")</f>
        <v>Nazwa użytkownika</v>
      </c>
      <c r="J16" s="25" t="str">
        <f ca="1">IFERROR(__xludf.DUMMYFUNCTION("GOOGLETRANSLATE(B16, ""en"", ""zh"")"),"用户名")</f>
        <v>用户名</v>
      </c>
      <c r="K16" s="25" t="str">
        <f ca="1">IFERROR(__xludf.DUMMYFUNCTION("GOOGLETRANSLATE(B16, ""en"", ""vi"")"),"tên tài khoản")</f>
        <v>tên tài khoản</v>
      </c>
      <c r="L16" s="26" t="str">
        <f ca="1">IFERROR(__xludf.DUMMYFUNCTION("GOOGLETRANSLATE(B16, ""en"", ""hr"")"),"Korisničko ime")</f>
        <v>Korisničko ime</v>
      </c>
      <c r="M16" s="27"/>
      <c r="N16" s="28"/>
      <c r="O16" s="28"/>
      <c r="P16" s="28"/>
      <c r="Q16" s="28"/>
      <c r="R16" s="28"/>
      <c r="S16" s="28"/>
      <c r="T16" s="28"/>
      <c r="U16" s="28"/>
      <c r="V16" s="28"/>
      <c r="W16" s="28"/>
      <c r="X16" s="28"/>
      <c r="Y16" s="28"/>
      <c r="Z16" s="28"/>
      <c r="AA16" s="28"/>
      <c r="AB16" s="28"/>
    </row>
    <row r="17" spans="1:28" ht="15.75" customHeight="1" x14ac:dyDescent="0.15">
      <c r="A17" s="21" t="s">
        <v>44</v>
      </c>
      <c r="B17" s="22" t="s">
        <v>45</v>
      </c>
      <c r="C17" s="23" t="str">
        <f ca="1">IFERROR(__xludf.DUMMYFUNCTION("GOOGLETRANSLATE(B17, ""en"", ""fr"")"),"Mot de passe")</f>
        <v>Mot de passe</v>
      </c>
      <c r="D17" s="23" t="str">
        <f ca="1">IFERROR(__xludf.DUMMYFUNCTION("GOOGLETRANSLATE(B17, ""en"", ""es"")"),"Contraseña")</f>
        <v>Contraseña</v>
      </c>
      <c r="E17" s="23" t="str">
        <f ca="1">IFERROR(__xludf.DUMMYFUNCTION("GOOGLETRANSLATE(B17, ""en"", ""ru"")"),"Пароль")</f>
        <v>Пароль</v>
      </c>
      <c r="F17" s="23" t="str">
        <f ca="1">IFERROR(__xludf.DUMMYFUNCTION("GOOGLETRANSLATE(B17, ""en"", ""tr"")"),"Parola")</f>
        <v>Parola</v>
      </c>
      <c r="G17" s="23" t="str">
        <f ca="1">IFERROR(__xludf.DUMMYFUNCTION("GOOGLETRANSLATE(B17, ""en"", ""pt"")"),"Senha")</f>
        <v>Senha</v>
      </c>
      <c r="H17" s="24" t="str">
        <f ca="1">IFERROR(__xludf.DUMMYFUNCTION("GOOGLETRANSLATE(B17, ""en"", ""de"")"),"Passwort")</f>
        <v>Passwort</v>
      </c>
      <c r="I17" s="23" t="str">
        <f ca="1">IFERROR(__xludf.DUMMYFUNCTION("GOOGLETRANSLATE(B17, ""en"", ""pl"")"),"Hasło")</f>
        <v>Hasło</v>
      </c>
      <c r="J17" s="25" t="str">
        <f ca="1">IFERROR(__xludf.DUMMYFUNCTION("GOOGLETRANSLATE(B17, ""en"", ""zh"")"),"密码")</f>
        <v>密码</v>
      </c>
      <c r="K17" s="25" t="str">
        <f ca="1">IFERROR(__xludf.DUMMYFUNCTION("GOOGLETRANSLATE(B17, ""en"", ""vi"")"),"Mật khẩu")</f>
        <v>Mật khẩu</v>
      </c>
      <c r="L17" s="26" t="str">
        <f ca="1">IFERROR(__xludf.DUMMYFUNCTION("GOOGLETRANSLATE(B17, ""en"", ""hr"")"),"Lozinka")</f>
        <v>Lozinka</v>
      </c>
      <c r="M17" s="27"/>
      <c r="N17" s="28"/>
      <c r="O17" s="28"/>
      <c r="P17" s="28"/>
      <c r="Q17" s="28"/>
      <c r="R17" s="28"/>
      <c r="S17" s="28"/>
      <c r="T17" s="28"/>
      <c r="U17" s="28"/>
      <c r="V17" s="28"/>
      <c r="W17" s="28"/>
      <c r="X17" s="28"/>
      <c r="Y17" s="28"/>
      <c r="Z17" s="28"/>
      <c r="AA17" s="28"/>
      <c r="AB17" s="28"/>
    </row>
    <row r="18" spans="1:28" ht="15.75" customHeight="1" x14ac:dyDescent="0.15">
      <c r="A18" s="21" t="s">
        <v>46</v>
      </c>
      <c r="B18" s="22" t="s">
        <v>47</v>
      </c>
      <c r="C18" s="23" t="str">
        <f ca="1">IFERROR(__xludf.DUMMYFUNCTION("GOOGLETRANSLATE(B18, ""en"", ""fr"")"),"Quelque chose s'est mal passé.
Gênant... :/")</f>
        <v>Quelque chose s'est mal passé.
Gênant... :/</v>
      </c>
      <c r="D18" s="23" t="str">
        <f ca="1">IFERROR(__xludf.DUMMYFUNCTION("GOOGLETRANSLATE(B18, ""en"", ""es"")"),"Algo salió mal.
Incómodo... :/")</f>
        <v>Algo salió mal.
Incómodo... :/</v>
      </c>
      <c r="E18" s="23" t="s">
        <v>48</v>
      </c>
      <c r="F18" s="23" t="str">
        <f ca="1">IFERROR(__xludf.DUMMYFUNCTION("GOOGLETRANSLATE(B18, ""en"", ""tr"")"),"Bir şeyler yanlış gitti.
Garip... :/")</f>
        <v>Bir şeyler yanlış gitti.
Garip... :/</v>
      </c>
      <c r="G18" s="23" t="str">
        <f ca="1">IFERROR(__xludf.DUMMYFUNCTION("GOOGLETRANSLATE(B18, ""en"", ""pt"")"),"Algo deu errado.
Estranho... :/")</f>
        <v>Algo deu errado.
Estranho... :/</v>
      </c>
      <c r="H18" s="24" t="str">
        <f ca="1">IFERROR(__xludf.DUMMYFUNCTION("GOOGLETRANSLATE(B18, ""en"", ""de"")"),"Etwas ist schief gelaufen.
Unangenehm... :/")</f>
        <v>Etwas ist schief gelaufen.
Unangenehm... :/</v>
      </c>
      <c r="I18" s="23" t="str">
        <f ca="1">IFERROR(__xludf.DUMMYFUNCTION("GOOGLETRANSLATE(B18, ""en"", ""pl"")"),"Coś poszło nie tak.
Niezręczny... :/")</f>
        <v>Coś poszło nie tak.
Niezręczny... :/</v>
      </c>
      <c r="J18" s="25" t="str">
        <f ca="1">IFERROR(__xludf.DUMMYFUNCTION("GOOGLETRANSLATE(B18, ""en"", ""zh"")"),"出了些问题。
尴尬的... ：/")</f>
        <v>出了些问题。
尴尬的... ：/</v>
      </c>
      <c r="K18" s="25" t="str">
        <f ca="1">IFERROR(__xludf.DUMMYFUNCTION("GOOGLETRANSLATE(B18, ""en"", ""vi"")"),"Một cái gì đó đã đi sai.
Vụng về... :/")</f>
        <v>Một cái gì đó đã đi sai.
Vụng về... :/</v>
      </c>
      <c r="L18" s="26" t="str">
        <f ca="1">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spans="1:28" ht="15.75" customHeight="1" x14ac:dyDescent="0.15">
      <c r="A19" s="21" t="s">
        <v>49</v>
      </c>
      <c r="B19" s="22" t="s">
        <v>50</v>
      </c>
      <c r="C19" s="23" t="str">
        <f ca="1">IFERROR(__xludf.DUMMYFUNCTION("GOOGLETRANSLATE(B19, ""en"", ""fr"")"),"Le jeu est plein.
WOW ...: O")</f>
        <v>Le jeu est plein.
WOW ...: O</v>
      </c>
      <c r="D19" s="23" t="str">
        <f ca="1">IFERROR(__xludf.DUMMYFUNCTION("GOOGLETRANSLATE(B19, ""en"", ""es"")"),"El juego está lleno.
Wow ...: o")</f>
        <v>El juego está lleno.
Wow ...: o</v>
      </c>
      <c r="E19" s="23" t="s">
        <v>51</v>
      </c>
      <c r="F19" s="23" t="str">
        <f ca="1">IFERROR(__xludf.DUMMYFUNCTION("GOOGLETRANSLATE(B19, ""en"", ""tr"")"),"Oyun dolu.
Vay ...: o")</f>
        <v>Oyun dolu.
Vay ...: o</v>
      </c>
      <c r="G19" s="23" t="str">
        <f ca="1">IFERROR(__xludf.DUMMYFUNCTION("GOOGLETRANSLATE(B19, ""en"", ""pt"")"),"O jogo está cheio.
Uau ...: o")</f>
        <v>O jogo está cheio.
Uau ...: o</v>
      </c>
      <c r="H19" s="24" t="str">
        <f ca="1">IFERROR(__xludf.DUMMYFUNCTION("GOOGLETRANSLATE(B19, ""en"", ""de"")"),"Das Spiel ist voll.
Wow ...: o")</f>
        <v>Das Spiel ist voll.
Wow ...: o</v>
      </c>
      <c r="I19" s="23" t="str">
        <f ca="1">IFERROR(__xludf.DUMMYFUNCTION("GOOGLETRANSLATE(B19, ""en"", ""pl"")"),"Gra jest pełna.
Wow ...: O")</f>
        <v>Gra jest pełna.
Wow ...: O</v>
      </c>
      <c r="J19" s="25" t="str">
        <f ca="1">IFERROR(__xludf.DUMMYFUNCTION("GOOGLETRANSLATE(B19, ""en"", ""zh"")"),"游戏已满。
哇......：o")</f>
        <v>游戏已满。
哇......：o</v>
      </c>
      <c r="K19" s="25" t="str">
        <f ca="1">IFERROR(__xludf.DUMMYFUNCTION("GOOGLETRANSLATE(B19, ""en"", ""vi"")"),"Trò chơi đã đầy.
Wow ...: O")</f>
        <v>Trò chơi đã đầy.
Wow ...: O</v>
      </c>
      <c r="L19" s="26" t="str">
        <f ca="1">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spans="1:28" ht="15.75" customHeight="1" x14ac:dyDescent="0.15">
      <c r="A20" s="21" t="s">
        <v>52</v>
      </c>
      <c r="B20" s="22" t="s">
        <v>53</v>
      </c>
      <c r="C20" s="23" t="str">
        <f ca="1">IFERROR(__xludf.DUMMYFUNCTION("GOOGLETRANSLATE(B20, ""en"", ""fr"")"),"Impossible de se connecter au serveur de jeu.")</f>
        <v>Impossible de se connecter au serveur de jeu.</v>
      </c>
      <c r="D20" s="23" t="str">
        <f ca="1">IFERROR(__xludf.DUMMYFUNCTION("GOOGLETRANSLATE(B20, ""en"", ""es"")"),"No se pudo conectar al servidor de juegos.")</f>
        <v>No se pudo conectar al servidor de juegos.</v>
      </c>
      <c r="E20" s="23" t="s">
        <v>54</v>
      </c>
      <c r="F20" s="23" t="str">
        <f ca="1">IFERROR(__xludf.DUMMYFUNCTION("GOOGLETRANSLATE(B20, ""en"", ""tr"")"),"Oyun sunucusuna bağlanamadı.")</f>
        <v>Oyun sunucusuna bağlanamadı.</v>
      </c>
      <c r="G20" s="23" t="str">
        <f ca="1">IFERROR(__xludf.DUMMYFUNCTION("GOOGLETRANSLATE(B20, ""en"", ""pt"")"),"Não foi possível conectar-se ao servidor de jogos.")</f>
        <v>Não foi possível conectar-se ao servidor de jogos.</v>
      </c>
      <c r="H20" s="24" t="str">
        <f ca="1">IFERROR(__xludf.DUMMYFUNCTION("GOOGLETRANSLATE(B20, ""en"", ""de"")"),"Konnte keine Verbindung zum Game-Server herstellen.")</f>
        <v>Konnte keine Verbindung zum Game-Server herstellen.</v>
      </c>
      <c r="I20" s="23" t="str">
        <f ca="1">IFERROR(__xludf.DUMMYFUNCTION("GOOGLETRANSLATE(B20, ""en"", ""pl"")"),"Nie mógł połączyć się z serwerem gry.")</f>
        <v>Nie mógł połączyć się z serwerem gry.</v>
      </c>
      <c r="J20" s="25" t="str">
        <f ca="1">IFERROR(__xludf.DUMMYFUNCTION("GOOGLETRANSLATE(B20, ""en"", ""zh"")"),"无法连接到游戏服务器。")</f>
        <v>无法连接到游戏服务器。</v>
      </c>
      <c r="K20" s="25" t="str">
        <f ca="1">IFERROR(__xludf.DUMMYFUNCTION("GOOGLETRANSLATE(B20, ""en"", ""vi"")"),"Không thể kết nối với máy chủ trò chơi.")</f>
        <v>Không thể kết nối với máy chủ trò chơi.</v>
      </c>
      <c r="L20" s="26" t="str">
        <f ca="1">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spans="1:28" ht="15.75" customHeight="1" x14ac:dyDescent="0.15">
      <c r="A21" s="21" t="s">
        <v>55</v>
      </c>
      <c r="B21" s="22" t="s">
        <v>56</v>
      </c>
      <c r="C21" s="23" t="str">
        <f ca="1">IFERROR(__xludf.DUMMYFUNCTION("GOOGLETRANSLATE(B21, ""en"", ""fr"")"),"Nom d'utilisateur (requis.")</f>
        <v>Nom d'utilisateur (requis.</v>
      </c>
      <c r="D21" s="23" t="str">
        <f ca="1">IFERROR(__xludf.DUMMYFUNCTION("GOOGLETRANSLATE(B21, ""en"", ""es"")"),"Nombre de usuario (requerido.")</f>
        <v>Nombre de usuario (requerido.</v>
      </c>
      <c r="E21" s="23" t="s">
        <v>57</v>
      </c>
      <c r="F21" s="23" t="str">
        <f ca="1">IFERROR(__xludf.DUMMYFUNCTION("GOOGLETRANSLATE(B21, ""en"", ""tr"")"),"Kullanıcı adı gerekli.")</f>
        <v>Kullanıcı adı gerekli.</v>
      </c>
      <c r="G21" s="23" t="str">
        <f ca="1">IFERROR(__xludf.DUMMYFUNCTION("GOOGLETRANSLATE(B21, ""en"", ""pt"")"),"Nome de usuário (necessário.")</f>
        <v>Nome de usuário (necessário.</v>
      </c>
      <c r="H21" s="24" t="str">
        <f ca="1">IFERROR(__xludf.DUMMYFUNCTION("GOOGLETRANSLATE(B21, ""en"", ""de"")"),"Benutzername erforderlich.")</f>
        <v>Benutzername erforderlich.</v>
      </c>
      <c r="I21" s="23" t="str">
        <f ca="1">IFERROR(__xludf.DUMMYFUNCTION("GOOGLETRANSLATE(B21, ""en"", ""pl"")"),"Nazwa użytkownika (wymagana.")</f>
        <v>Nazwa użytkownika (wymagana.</v>
      </c>
      <c r="J21" s="25" t="str">
        <f ca="1">IFERROR(__xludf.DUMMYFUNCTION("GOOGLETRANSLATE(B21, ""en"", ""zh"")"),"需要用户名。")</f>
        <v>需要用户名。</v>
      </c>
      <c r="K21" s="25" t="str">
        <f ca="1">IFERROR(__xludf.DUMMYFUNCTION("GOOGLETRANSLATE(B21, ""en"", ""vi"")"),"Tên người dùng cần thiết.")</f>
        <v>Tên người dùng cần thiết.</v>
      </c>
      <c r="L21" s="26" t="str">
        <f ca="1">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spans="1:28" ht="15.75" customHeight="1" x14ac:dyDescent="0.15">
      <c r="A22" s="21" t="s">
        <v>58</v>
      </c>
      <c r="B22" s="22" t="s">
        <v>59</v>
      </c>
      <c r="C22" s="23" t="str">
        <f ca="1">IFERROR(__xludf.DUMMYFUNCTION("GOOGLETRANSLATE(B22, ""en"", ""fr"")"),"Mot de passe requis.")</f>
        <v>Mot de passe requis.</v>
      </c>
      <c r="D22" s="23" t="str">
        <f ca="1">IFERROR(__xludf.DUMMYFUNCTION("GOOGLETRANSLATE(B22, ""en"", ""es"")"),"Se requiere contraseña.")</f>
        <v>Se requiere contraseña.</v>
      </c>
      <c r="E22" s="23" t="str">
        <f ca="1">IFERROR(__xludf.DUMMYFUNCTION("GOOGLETRANSLATE(B22, ""en"", ""ru"")"),"Требуется пароль.")</f>
        <v>Требуется пароль.</v>
      </c>
      <c r="F22" s="23" t="str">
        <f ca="1">IFERROR(__xludf.DUMMYFUNCTION("GOOGLETRANSLATE(B22, ""en"", ""tr"")"),"Şifre gerekli.")</f>
        <v>Şifre gerekli.</v>
      </c>
      <c r="G22" s="23" t="str">
        <f ca="1">IFERROR(__xludf.DUMMYFUNCTION("GOOGLETRANSLATE(B22, ""en"", ""pt"")"),"Senha requerida.")</f>
        <v>Senha requerida.</v>
      </c>
      <c r="H22" s="24" t="str">
        <f ca="1">IFERROR(__xludf.DUMMYFUNCTION("GOOGLETRANSLATE(B22, ""en"", ""de"")"),"Passwort erforderlich.")</f>
        <v>Passwort erforderlich.</v>
      </c>
      <c r="I22" s="23" t="str">
        <f ca="1">IFERROR(__xludf.DUMMYFUNCTION("GOOGLETRANSLATE(B22, ""en"", ""pl"")"),"Wymagane hasło.")</f>
        <v>Wymagane hasło.</v>
      </c>
      <c r="J22" s="25" t="str">
        <f ca="1">IFERROR(__xludf.DUMMYFUNCTION("GOOGLETRANSLATE(B22, ""en"", ""zh"")"),"需要密码。")</f>
        <v>需要密码。</v>
      </c>
      <c r="K22" s="25" t="str">
        <f ca="1">IFERROR(__xludf.DUMMYFUNCTION("GOOGLETRANSLATE(B22, ""en"", ""vi"")"),"Mật khẩu được yêu câu.")</f>
        <v>Mật khẩu được yêu câu.</v>
      </c>
      <c r="L22" s="26" t="str">
        <f ca="1">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spans="1:28" ht="15.75" customHeight="1" x14ac:dyDescent="0.15">
      <c r="A23" s="21" t="s">
        <v>60</v>
      </c>
      <c r="B23" s="22" t="s">
        <v>61</v>
      </c>
      <c r="C23" s="23" t="str">
        <f ca="1">IFERROR(__xludf.DUMMYFUNCTION("GOOGLETRANSLATE(B23, ""en"", ""fr"")"),"Nom d'utilisateur ou mot de passe invalide.")</f>
        <v>Nom d'utilisateur ou mot de passe invalide.</v>
      </c>
      <c r="D23" s="23" t="str">
        <f ca="1">IFERROR(__xludf.DUMMYFUNCTION("GOOGLETRANSLATE(B23, ""en"", ""es"")"),"Usuario o contraseña invalido.")</f>
        <v>Usuario o contraseña invalido.</v>
      </c>
      <c r="E23" s="23" t="str">
        <f ca="1">IFERROR(__xludf.DUMMYFUNCTION("GOOGLETRANSLATE(B23, ""en"", ""ru"")"),"Неправильное имя пользователя или пароль.")</f>
        <v>Неправильное имя пользователя или пароль.</v>
      </c>
      <c r="F23" s="23" t="str">
        <f ca="1">IFERROR(__xludf.DUMMYFUNCTION("GOOGLETRANSLATE(B23, ""en"", ""tr"")"),"Geçersiz kullanıcı adı veya şifre.")</f>
        <v>Geçersiz kullanıcı adı veya şifre.</v>
      </c>
      <c r="G23" s="23" t="str">
        <f ca="1">IFERROR(__xludf.DUMMYFUNCTION("GOOGLETRANSLATE(B23, ""en"", ""pt"")"),"Nome de usuário ou senha inválidos.")</f>
        <v>Nome de usuário ou senha inválidos.</v>
      </c>
      <c r="H23" s="24" t="str">
        <f ca="1">IFERROR(__xludf.DUMMYFUNCTION("GOOGLETRANSLATE(B23, ""en"", ""de"")"),"Ungültiger Benutzername oder Passwort.")</f>
        <v>Ungültiger Benutzername oder Passwort.</v>
      </c>
      <c r="I23" s="23" t="str">
        <f ca="1">IFERROR(__xludf.DUMMYFUNCTION("GOOGLETRANSLATE(B23, ""en"", ""pl"")"),"Nieprawidłowa nazwa użytkownika lub hasło.")</f>
        <v>Nieprawidłowa nazwa użytkownika lub hasło.</v>
      </c>
      <c r="J23" s="25" t="str">
        <f ca="1">IFERROR(__xludf.DUMMYFUNCTION("GOOGLETRANSLATE(B23, ""en"", ""zh"")"),"用户名或密码无效。")</f>
        <v>用户名或密码无效。</v>
      </c>
      <c r="K23" s="25" t="str">
        <f ca="1">IFERROR(__xludf.DUMMYFUNCTION("GOOGLETRANSLATE(B23, ""en"", ""vi"")"),"Sai username hoặc password.")</f>
        <v>Sai username hoặc password.</v>
      </c>
      <c r="L23" s="26" t="str">
        <f ca="1">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spans="1:28" ht="15.75" customHeight="1" x14ac:dyDescent="0.15">
      <c r="A24" s="21" t="s">
        <v>62</v>
      </c>
      <c r="B24" s="22" t="s">
        <v>63</v>
      </c>
      <c r="C24" s="23" t="str">
        <f ca="1">IFERROR(__xludf.DUMMYFUNCTION("GOOGLETRANSLATE(B24, ""en"", ""fr"")"),"Ce compte est déjà connecté.")</f>
        <v>Ce compte est déjà connecté.</v>
      </c>
      <c r="D24" s="23" t="str">
        <f ca="1">IFERROR(__xludf.DUMMYFUNCTION("GOOGLETRANSLATE(B24, ""en"", ""es"")"),"Esa cuenta ya está conectada.")</f>
        <v>Esa cuenta ya está conectada.</v>
      </c>
      <c r="E24" s="23" t="s">
        <v>64</v>
      </c>
      <c r="F24" s="23" t="str">
        <f ca="1">IFERROR(__xludf.DUMMYFUNCTION("GOOGLETRANSLATE(B24, ""en"", ""tr"")"),"Bu hesap zaten giriş yapmış.")</f>
        <v>Bu hesap zaten giriş yapmış.</v>
      </c>
      <c r="G24" s="23" t="str">
        <f ca="1">IFERROR(__xludf.DUMMYFUNCTION("GOOGLETRANSLATE(B24, ""en"", ""pt"")"),"Essa conta já está logada.")</f>
        <v>Essa conta já está logada.</v>
      </c>
      <c r="H24" s="24" t="str">
        <f ca="1">IFERROR(__xludf.DUMMYFUNCTION("GOOGLETRANSLATE(B24, ""en"", ""de"")"),"Das Konto ist bereits angemeldet.")</f>
        <v>Das Konto ist bereits angemeldet.</v>
      </c>
      <c r="I24" s="23" t="str">
        <f ca="1">IFERROR(__xludf.DUMMYFUNCTION("GOOGLETRANSLATE(B24, ""en"", ""pl"")"),"To konto jest już zalogowane.")</f>
        <v>To konto jest już zalogowane.</v>
      </c>
      <c r="J24" s="25" t="str">
        <f ca="1">IFERROR(__xludf.DUMMYFUNCTION("GOOGLETRANSLATE(B24, ""en"", ""zh"")"),"该帐户已登录。")</f>
        <v>该帐户已登录。</v>
      </c>
      <c r="K24" s="25" t="str">
        <f ca="1">IFERROR(__xludf.DUMMYFUNCTION("GOOGLETRANSLATE(B24, ""en"", ""vi"")"),"Tài khoản đó đã được đăng nhập.")</f>
        <v>Tài khoản đó đã được đăng nhập.</v>
      </c>
      <c r="L24" s="26" t="str">
        <f ca="1">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spans="1:28" ht="15.75" customHeight="1" x14ac:dyDescent="0.15">
      <c r="A25" s="21" t="s">
        <v>65</v>
      </c>
      <c r="B25" s="22" t="s">
        <v>65</v>
      </c>
      <c r="C25" s="23" t="s">
        <v>66</v>
      </c>
      <c r="D25" s="23" t="str">
        <f ca="1">IFERROR(__xludf.DUMMYFUNCTION("GOOGLETRANSLATE(B25, ""en"", ""es"")"),"Socios")</f>
        <v>Socios</v>
      </c>
      <c r="E25" s="23" t="str">
        <f ca="1">IFERROR(__xludf.DUMMYFUNCTION("GOOGLETRANSLATE(B25, ""en"", ""ru"")"),"Партнеры")</f>
        <v>Партнеры</v>
      </c>
      <c r="F25" s="23" t="str">
        <f ca="1">IFERROR(__xludf.DUMMYFUNCTION("GOOGLETRANSLATE(B25, ""en"", ""tr"")"),"Ortaklar")</f>
        <v>Ortaklar</v>
      </c>
      <c r="G25" s="23" t="str">
        <f ca="1">IFERROR(__xludf.DUMMYFUNCTION("GOOGLETRANSLATE(B25, ""en"", ""pt"")"),"Parceiros")</f>
        <v>Parceiros</v>
      </c>
      <c r="H25" s="24" t="str">
        <f ca="1">IFERROR(__xludf.DUMMYFUNCTION("GOOGLETRANSLATE(B25, ""en"", ""de"")"),"Partner")</f>
        <v>Partner</v>
      </c>
      <c r="I25" s="23" t="str">
        <f ca="1">IFERROR(__xludf.DUMMYFUNCTION("GOOGLETRANSLATE(B25, ""en"", ""pl"")"),"Wzmacniacz")</f>
        <v>Wzmacniacz</v>
      </c>
      <c r="J25" s="25" t="str">
        <f ca="1">IFERROR(__xludf.DUMMYFUNCTION("GOOGLETRANSLATE(B25, ""en"", ""zh"")"),"伙伴")</f>
        <v>伙伴</v>
      </c>
      <c r="K25" s="25" t="str">
        <f ca="1">IFERROR(__xludf.DUMMYFUNCTION("GOOGLETRANSLATE(B25, ""en"", ""vi"")"),"ĐỐI TÁC")</f>
        <v>ĐỐI TÁC</v>
      </c>
      <c r="L25" s="26" t="str">
        <f ca="1">IFERROR(__xludf.DUMMYFUNCTION("GOOGLETRANSLATE(B25, ""en"", ""hr"")"),"Partneri")</f>
        <v>Partneri</v>
      </c>
      <c r="M25" s="27"/>
      <c r="N25" s="28"/>
      <c r="O25" s="28"/>
      <c r="P25" s="28"/>
      <c r="Q25" s="28"/>
      <c r="R25" s="28"/>
      <c r="S25" s="28"/>
      <c r="T25" s="28"/>
      <c r="U25" s="28"/>
      <c r="V25" s="28"/>
      <c r="W25" s="28"/>
      <c r="X25" s="28"/>
      <c r="Y25" s="28"/>
      <c r="Z25" s="28"/>
      <c r="AA25" s="28"/>
      <c r="AB25" s="28"/>
    </row>
    <row r="26" spans="1:28" ht="15.75" customHeight="1" x14ac:dyDescent="0.15">
      <c r="A26" s="21" t="s">
        <v>67</v>
      </c>
      <c r="B26" s="22" t="s">
        <v>67</v>
      </c>
      <c r="C26" s="23" t="str">
        <f ca="1">IFERROR(__xludf.DUMMYFUNCTION("GOOGLETRANSLATE(B26, ""en"", ""fr"")"),"Crédits")</f>
        <v>Crédits</v>
      </c>
      <c r="D26" s="23" t="str">
        <f ca="1">IFERROR(__xludf.DUMMYFUNCTION("GOOGLETRANSLATE(B26, ""en"", ""es"")"),"Créditos")</f>
        <v>Créditos</v>
      </c>
      <c r="E26" s="23" t="s">
        <v>68</v>
      </c>
      <c r="F26" s="23" t="str">
        <f ca="1">IFERROR(__xludf.DUMMYFUNCTION("GOOGLETRANSLATE(B26, ""en"", ""tr"")"),"Kredi")</f>
        <v>Kredi</v>
      </c>
      <c r="G26" s="23" t="str">
        <f ca="1">IFERROR(__xludf.DUMMYFUNCTION("GOOGLETRANSLATE(B26, ""en"", ""pt"")"),"Créditos")</f>
        <v>Créditos</v>
      </c>
      <c r="H26" s="24" t="str">
        <f ca="1">IFERROR(__xludf.DUMMYFUNCTION("GOOGLETRANSLATE(B26, ""en"", ""de"")"),"Kreditschriften")</f>
        <v>Kreditschriften</v>
      </c>
      <c r="I26" s="23" t="str">
        <f ca="1">IFERROR(__xludf.DUMMYFUNCTION("GOOGLETRANSLATE(B26, ""en"", ""pl"")"),"Kredyty")</f>
        <v>Kredyty</v>
      </c>
      <c r="J26" s="25" t="str">
        <f ca="1">IFERROR(__xludf.DUMMYFUNCTION("GOOGLETRANSLATE(B26, ""en"", ""zh"")"),"学分")</f>
        <v>学分</v>
      </c>
      <c r="K26" s="25" t="str">
        <f ca="1">IFERROR(__xludf.DUMMYFUNCTION("GOOGLETRANSLATE(B26, ""en"", ""vi"")"),"Tín dụng")</f>
        <v>Tín dụng</v>
      </c>
      <c r="L26" s="26" t="str">
        <f ca="1">IFERROR(__xludf.DUMMYFUNCTION("GOOGLETRANSLATE(B26, ""en"", ""hr"")"),"Krediti")</f>
        <v>Krediti</v>
      </c>
      <c r="M26" s="27"/>
      <c r="N26" s="28"/>
      <c r="O26" s="28"/>
      <c r="P26" s="28"/>
      <c r="Q26" s="28"/>
      <c r="R26" s="28"/>
      <c r="S26" s="28"/>
      <c r="T26" s="28"/>
      <c r="U26" s="28"/>
      <c r="V26" s="28"/>
      <c r="W26" s="28"/>
      <c r="X26" s="28"/>
      <c r="Y26" s="28"/>
      <c r="Z26" s="28"/>
      <c r="AA26" s="28"/>
      <c r="AB26" s="28"/>
    </row>
    <row r="27" spans="1:28" ht="15.75" customHeight="1" x14ac:dyDescent="0.15">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spans="1:28" ht="15.75" customHeight="1" x14ac:dyDescent="0.15">
      <c r="A28" s="21" t="s">
        <v>71</v>
      </c>
      <c r="B28" s="22" t="s">
        <v>71</v>
      </c>
      <c r="C28" s="23" t="str">
        <f ca="1">IFERROR(__xludf.DUMMYFUNCTION("GOOGLETRANSLATE(B28, ""en"", ""fr"")"),"Jouer")</f>
        <v>Jouer</v>
      </c>
      <c r="D28" s="23" t="str">
        <f ca="1">IFERROR(__xludf.DUMMYFUNCTION("GOOGLETRANSLATE(B28, ""en"", ""es"")"),"Jugar")</f>
        <v>Jugar</v>
      </c>
      <c r="E28" s="23" t="s">
        <v>72</v>
      </c>
      <c r="F28" s="23" t="str">
        <f ca="1">IFERROR(__xludf.DUMMYFUNCTION("GOOGLETRANSLATE(B28, ""en"", ""tr"")"),"Oynamak")</f>
        <v>Oynamak</v>
      </c>
      <c r="G28" s="23" t="str">
        <f ca="1">IFERROR(__xludf.DUMMYFUNCTION("GOOGLETRANSLATE(B28, ""en"", ""pt"")"),"Toque")</f>
        <v>Toque</v>
      </c>
      <c r="H28" s="24" t="str">
        <f ca="1">IFERROR(__xludf.DUMMYFUNCTION("GOOGLETRANSLATE(B28, ""en"", ""de"")"),"Spiel")</f>
        <v>Spiel</v>
      </c>
      <c r="I28" s="23" t="str">
        <f ca="1">IFERROR(__xludf.DUMMYFUNCTION("GOOGLETRANSLATE(B28, ""en"", ""pl"")"),"Bawić się")</f>
        <v>Bawić się</v>
      </c>
      <c r="J28" s="25" t="str">
        <f ca="1">IFERROR(__xludf.DUMMYFUNCTION("GOOGLETRANSLATE(B28, ""en"", ""zh"")"),"玩")</f>
        <v>玩</v>
      </c>
      <c r="K28" s="25" t="str">
        <f ca="1">IFERROR(__xludf.DUMMYFUNCTION("GOOGLETRANSLATE(B28, ""en"", ""vi"")"),"Chơi")</f>
        <v>Chơi</v>
      </c>
      <c r="L28" s="26" t="str">
        <f ca="1">IFERROR(__xludf.DUMMYFUNCTION("GOOGLETRANSLATE(B28, ""en"", ""hr"")"),"igra")</f>
        <v>igra</v>
      </c>
      <c r="M28" s="27"/>
      <c r="N28" s="28"/>
      <c r="O28" s="28"/>
      <c r="P28" s="28"/>
      <c r="Q28" s="28"/>
      <c r="R28" s="28"/>
      <c r="S28" s="28"/>
      <c r="T28" s="28"/>
      <c r="U28" s="28"/>
      <c r="V28" s="28"/>
      <c r="W28" s="28"/>
      <c r="X28" s="28"/>
      <c r="Y28" s="28"/>
      <c r="Z28" s="28"/>
      <c r="AA28" s="28"/>
      <c r="AB28" s="28"/>
    </row>
    <row r="29" spans="1:28" ht="15.75" customHeight="1" x14ac:dyDescent="0.15">
      <c r="A29" s="21" t="s">
        <v>73</v>
      </c>
      <c r="B29" s="22" t="s">
        <v>73</v>
      </c>
      <c r="C29" s="23" t="s">
        <v>74</v>
      </c>
      <c r="D29" s="23" t="str">
        <f ca="1">IFERROR(__xludf.DUMMYFUNCTION("GOOGLETRANSLATE(B29, ""en"", ""es"")"),"Volver a conectar")</f>
        <v>Volver a conectar</v>
      </c>
      <c r="E29" s="23" t="s">
        <v>75</v>
      </c>
      <c r="F29" s="23" t="str">
        <f ca="1">IFERROR(__xludf.DUMMYFUNCTION("GOOGLETRANSLATE(B29, ""en"", ""tr"")"),"Yeniden bağlanmak")</f>
        <v>Yeniden bağlanmak</v>
      </c>
      <c r="G29" s="23" t="str">
        <f ca="1">IFERROR(__xludf.DUMMYFUNCTION("GOOGLETRANSLATE(B29, ""en"", ""pt"")"),"Reconectar")</f>
        <v>Reconectar</v>
      </c>
      <c r="H29" s="24" t="str">
        <f ca="1">IFERROR(__xludf.DUMMYFUNCTION("GOOGLETRANSLATE(B29, ""en"", ""de"")"),"Wieder anschließen")</f>
        <v>Wieder anschließen</v>
      </c>
      <c r="I29" s="23" t="str">
        <f ca="1">IFERROR(__xludf.DUMMYFUNCTION("GOOGLETRANSLATE(B29, ""en"", ""pl"")"),"Na nowo połączyć")</f>
        <v>Na nowo połączyć</v>
      </c>
      <c r="J29" s="25" t="str">
        <f ca="1">IFERROR(__xludf.DUMMYFUNCTION("GOOGLETRANSLATE(B29, ""en"", ""zh"")"),"重新联系")</f>
        <v>重新联系</v>
      </c>
      <c r="K29" s="25" t="str">
        <f ca="1">IFERROR(__xludf.DUMMYFUNCTION("GOOGLETRANSLATE(B29, ""en"", ""vi"")"),"Kết nối lại.")</f>
        <v>Kết nối lại.</v>
      </c>
      <c r="L29" s="26" t="str">
        <f ca="1">IFERROR(__xludf.DUMMYFUNCTION("GOOGLETRANSLATE(B29, ""en"", ""hr"")"),"Ponovo spojiti")</f>
        <v>Ponovo spojiti</v>
      </c>
      <c r="M29" s="27"/>
      <c r="N29" s="28"/>
      <c r="O29" s="28"/>
      <c r="P29" s="28"/>
      <c r="Q29" s="28"/>
      <c r="R29" s="28"/>
      <c r="S29" s="28"/>
      <c r="T29" s="28"/>
      <c r="U29" s="28"/>
      <c r="V29" s="28"/>
      <c r="W29" s="28"/>
      <c r="X29" s="28"/>
      <c r="Y29" s="28"/>
      <c r="Z29" s="28"/>
      <c r="AA29" s="28"/>
      <c r="AB29" s="28"/>
    </row>
    <row r="30" spans="1:28" ht="15.75" customHeight="1" x14ac:dyDescent="0.15">
      <c r="A30" s="21" t="s">
        <v>76</v>
      </c>
      <c r="B30" s="22" t="s">
        <v>77</v>
      </c>
      <c r="C30" s="23" t="str">
        <f ca="1">IFERROR(__xludf.DUMMYFUNCTION("GOOGLETRANSLATE(B30, ""en"", ""fr"")"),"Connexion au serveur de jeu ...")</f>
        <v>Connexion au serveur de jeu ...</v>
      </c>
      <c r="D30" s="23" t="str">
        <f ca="1">IFERROR(__xludf.DUMMYFUNCTION("GOOGLETRANSLATE(B30, ""en"", ""es"")"),"Conexión al servidor de juegos ...")</f>
        <v>Conexión al servidor de juegos ...</v>
      </c>
      <c r="E30" s="23" t="str">
        <f ca="1">IFERROR(__xludf.DUMMYFUNCTION("GOOGLETRANSLATE(B30, ""en"", ""ru"")"),"Подключение к игровому серверу ...")</f>
        <v>Подключение к игровому серверу ...</v>
      </c>
      <c r="F30" s="23" t="str">
        <f ca="1">IFERROR(__xludf.DUMMYFUNCTION("GOOGLETRANSLATE(B30, ""en"", ""tr"")"),"Oyun sunucusuna bağlanma ...")</f>
        <v>Oyun sunucusuna bağlanma ...</v>
      </c>
      <c r="G30" s="23" t="str">
        <f ca="1">IFERROR(__xludf.DUMMYFUNCTION("GOOGLETRANSLATE(B30, ""en"", ""pt"")"),"Conectando ao Game Server ...")</f>
        <v>Conectando ao Game Server ...</v>
      </c>
      <c r="H30" s="24" t="str">
        <f ca="1">IFERROR(__xludf.DUMMYFUNCTION("GOOGLETRANSLATE(B30, ""en"", ""de"")"),"Anschließen an den Game-Server ...")</f>
        <v>Anschließen an den Game-Server ...</v>
      </c>
      <c r="I30" s="23" t="str">
        <f ca="1">IFERROR(__xludf.DUMMYFUNCTION("GOOGLETRANSLATE(B30, ""en"", ""pl"")"),"Łączenie się z serwerem gry ...")</f>
        <v>Łączenie się z serwerem gry ...</v>
      </c>
      <c r="J30" s="25" t="str">
        <f ca="1">IFERROR(__xludf.DUMMYFUNCTION("GOOGLETRANSLATE(B30, ""en"", ""zh"")"),"连接到游戏服务器...")</f>
        <v>连接到游戏服务器...</v>
      </c>
      <c r="K30" s="25" t="str">
        <f ca="1">IFERROR(__xludf.DUMMYFUNCTION("GOOGLETRANSLATE(B30, ""en"", ""vi"")"),"Kết nối với máy chủ trò chơi ...")</f>
        <v>Kết nối với máy chủ trò chơi ...</v>
      </c>
      <c r="L30" s="26" t="str">
        <f ca="1">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spans="1:28" ht="15.75" customHeight="1" x14ac:dyDescent="0.15">
      <c r="A31" s="21" t="s">
        <v>78</v>
      </c>
      <c r="B31" s="22" t="s">
        <v>79</v>
      </c>
      <c r="C31" s="23" t="str">
        <f ca="1">IFERROR(__xludf.DUMMYFUNCTION("GOOGLETRANSLATE(B31, ""en"", ""fr"")"),"Joindre jeu World ...")</f>
        <v>Joindre jeu World ...</v>
      </c>
      <c r="D31" s="23" t="str">
        <f ca="1">IFERROR(__xludf.DUMMYFUNCTION("GOOGLETRANSLATE(B31, ""en"", ""es"")"),"Uniéndose al juego Mundo ...")</f>
        <v>Uniéndose al juego Mundo ...</v>
      </c>
      <c r="E31" s="23" t="s">
        <v>80</v>
      </c>
      <c r="F31" s="23" t="str">
        <f ca="1">IFERROR(__xludf.DUMMYFUNCTION("GOOGLETRANSLATE(B31, ""en"", ""tr"")"),"Birleştirildi Oyun Dünyası ...")</f>
        <v>Birleştirildi Oyun Dünyası ...</v>
      </c>
      <c r="G31" s="23" t="str">
        <f ca="1">IFERROR(__xludf.DUMMYFUNCTION("GOOGLETRANSLATE(B31, ""en"", ""pt"")"),"Juntando o mundo do jogo ...")</f>
        <v>Juntando o mundo do jogo ...</v>
      </c>
      <c r="H31" s="24" t="str">
        <f ca="1">IFERROR(__xludf.DUMMYFUNCTION("GOOGLETRANSLATE(B31, ""en"", ""de"")"),"Beitritt der Spielwelt ...")</f>
        <v>Beitritt der Spielwelt ...</v>
      </c>
      <c r="I31" s="23" t="str">
        <f ca="1">IFERROR(__xludf.DUMMYFUNCTION("GOOGLETRANSLATE(B31, ""en"", ""pl"")"),"Dołączenie do gry do gry ...")</f>
        <v>Dołączenie do gry do gry ...</v>
      </c>
      <c r="J31" s="25" t="str">
        <f ca="1">IFERROR(__xludf.DUMMYFUNCTION("GOOGLETRANSLATE(B31, ""en"", ""zh"")"),"加入游戏世界......")</f>
        <v>加入游戏世界......</v>
      </c>
      <c r="K31" s="25" t="str">
        <f ca="1">IFERROR(__xludf.DUMMYFUNCTION("GOOGLETRANSLATE(B31, ""en"", ""vi"")"),"Tham gia Thế giới trò chơi ...")</f>
        <v>Tham gia Thế giới trò chơi ...</v>
      </c>
      <c r="L31" s="26" t="str">
        <f ca="1">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spans="1:28" ht="15.75" customHeight="1" x14ac:dyDescent="0.15">
      <c r="A32" s="21" t="s">
        <v>81</v>
      </c>
      <c r="B32" s="22" t="s">
        <v>81</v>
      </c>
      <c r="C32" s="23" t="str">
        <f ca="1">IFERROR(__xludf.DUMMYFUNCTION("GOOGLETRANSLATE(B32, ""en"", ""fr"")"),"Chargement")</f>
        <v>Chargement</v>
      </c>
      <c r="D32" s="23" t="str">
        <f ca="1">IFERROR(__xludf.DUMMYFUNCTION("GOOGLETRANSLATE(B32, ""en"", ""es"")"),"Cargando")</f>
        <v>Cargando</v>
      </c>
      <c r="E32" s="23" t="str">
        <f ca="1">IFERROR(__xludf.DUMMYFUNCTION("GOOGLETRANSLATE(B32, ""en"", ""ru"")"),"Загрузка")</f>
        <v>Загрузка</v>
      </c>
      <c r="F32" s="23" t="str">
        <f ca="1">IFERROR(__xludf.DUMMYFUNCTION("GOOGLETRANSLATE(B32, ""en"", ""tr"")"),"Yükleniyor")</f>
        <v>Yükleniyor</v>
      </c>
      <c r="G32" s="23" t="str">
        <f ca="1">IFERROR(__xludf.DUMMYFUNCTION("GOOGLETRANSLATE(B32, ""en"", ""pt"")"),"Carregando")</f>
        <v>Carregando</v>
      </c>
      <c r="H32" s="24" t="str">
        <f ca="1">IFERROR(__xludf.DUMMYFUNCTION("GOOGLETRANSLATE(B32, ""en"", ""de"")"),"Wird geladen")</f>
        <v>Wird geladen</v>
      </c>
      <c r="I32" s="23" t="str">
        <f ca="1">IFERROR(__xludf.DUMMYFUNCTION("GOOGLETRANSLATE(B32, ""en"", ""pl"")"),"Ładowanie")</f>
        <v>Ładowanie</v>
      </c>
      <c r="J32" s="25" t="str">
        <f ca="1">IFERROR(__xludf.DUMMYFUNCTION("GOOGLETRANSLATE(B32, ""en"", ""zh"")"),"装载")</f>
        <v>装载</v>
      </c>
      <c r="K32" s="25" t="str">
        <f ca="1">IFERROR(__xludf.DUMMYFUNCTION("GOOGLETRANSLATE(B32, ""en"", ""vi"")"),"Đang tải")</f>
        <v>Đang tải</v>
      </c>
      <c r="L32" s="26" t="str">
        <f ca="1">IFERROR(__xludf.DUMMYFUNCTION("GOOGLETRANSLATE(B32, ""en"", ""hr"")"),"Učitavam")</f>
        <v>Učitavam</v>
      </c>
      <c r="M32" s="27"/>
      <c r="N32" s="28"/>
      <c r="O32" s="28"/>
      <c r="P32" s="28"/>
      <c r="Q32" s="28"/>
      <c r="R32" s="28"/>
      <c r="S32" s="28"/>
      <c r="T32" s="28"/>
      <c r="U32" s="28"/>
      <c r="V32" s="28"/>
      <c r="W32" s="28"/>
      <c r="X32" s="28"/>
      <c r="Y32" s="28"/>
      <c r="Z32" s="28"/>
      <c r="AA32" s="28"/>
      <c r="AB32" s="28"/>
    </row>
    <row r="33" spans="1:28" ht="15.75" customHeight="1" x14ac:dyDescent="0.15">
      <c r="A33" s="21" t="s">
        <v>82</v>
      </c>
      <c r="B33" s="22" t="s">
        <v>82</v>
      </c>
      <c r="C33" s="23" t="str">
        <f ca="1">IFERROR(__xludf.DUMMYFUNCTION("GOOGLETRANSLATE(B33, ""en"", ""fr"")"),"Jeu chargé")</f>
        <v>Jeu chargé</v>
      </c>
      <c r="D33" s="23" t="str">
        <f ca="1">IFERROR(__xludf.DUMMYFUNCTION("GOOGLETRANSLATE(B33, ""en"", ""es"")"),"Juego cargado")</f>
        <v>Juego cargado</v>
      </c>
      <c r="E33" s="23" t="s">
        <v>83</v>
      </c>
      <c r="F33" s="23" t="str">
        <f ca="1">IFERROR(__xludf.DUMMYFUNCTION("GOOGLETRANSLATE(B33, ""en"", ""tr"")"),"Oyun yüklü")</f>
        <v>Oyun yüklü</v>
      </c>
      <c r="G33" s="23" t="str">
        <f ca="1">IFERROR(__xludf.DUMMYFUNCTION("GOOGLETRANSLATE(B33, ""en"", ""pt"")"),"Jogo carregado")</f>
        <v>Jogo carregado</v>
      </c>
      <c r="H33" s="24" t="str">
        <f ca="1">IFERROR(__xludf.DUMMYFUNCTION("GOOGLETRANSLATE(B33, ""en"", ""de"")"),"Spiel geladen")</f>
        <v>Spiel geladen</v>
      </c>
      <c r="I33" s="23" t="str">
        <f ca="1">IFERROR(__xludf.DUMMYFUNCTION("GOOGLETRANSLATE(B33, ""en"", ""pl"")"),"Załadowany gra")</f>
        <v>Załadowany gra</v>
      </c>
      <c r="J33" s="25" t="str">
        <f ca="1">IFERROR(__xludf.DUMMYFUNCTION("GOOGLETRANSLATE(B33, ""en"", ""zh"")"),"游戏加载")</f>
        <v>游戏加载</v>
      </c>
      <c r="K33" s="25" t="str">
        <f ca="1">IFERROR(__xludf.DUMMYFUNCTION("GOOGLETRANSLATE(B33, ""en"", ""vi"")"),"Trò chơi tải")</f>
        <v>Trò chơi tải</v>
      </c>
      <c r="L33" s="26" t="str">
        <f ca="1">IFERROR(__xludf.DUMMYFUNCTION("GOOGLETRANSLATE(B33, ""en"", ""hr"")"),"Igra učitana")</f>
        <v>Igra učitana</v>
      </c>
      <c r="M33" s="27"/>
      <c r="N33" s="28"/>
      <c r="O33" s="28"/>
      <c r="P33" s="28"/>
      <c r="Q33" s="28"/>
      <c r="R33" s="28"/>
      <c r="S33" s="28"/>
      <c r="T33" s="28"/>
      <c r="U33" s="28"/>
      <c r="V33" s="28"/>
      <c r="W33" s="28"/>
      <c r="X33" s="28"/>
      <c r="Y33" s="28"/>
      <c r="Z33" s="28"/>
      <c r="AA33" s="28"/>
      <c r="AB33" s="28"/>
    </row>
    <row r="34" spans="1:28" ht="15.75" customHeight="1" x14ac:dyDescent="0.15">
      <c r="A34" s="21" t="s">
        <v>84</v>
      </c>
      <c r="B34" s="22" t="s">
        <v>84</v>
      </c>
      <c r="C34" s="23" t="str">
        <f ca="1">IFERROR(__xludf.DUMMYFUNCTION("GOOGLETRANSLATE(B34, ""en"", ""fr"")"),"Suivant Astuce")</f>
        <v>Suivant Astuce</v>
      </c>
      <c r="D34" s="23" t="str">
        <f ca="1">IFERROR(__xludf.DUMMYFUNCTION("GOOGLETRANSLATE(B34, ""en"", ""es"")"),"Siguiente sugerencia")</f>
        <v>Siguiente sugerencia</v>
      </c>
      <c r="E34" s="23" t="s">
        <v>85</v>
      </c>
      <c r="F34" s="23" t="str">
        <f ca="1">IFERROR(__xludf.DUMMYFUNCTION("GOOGLETRANSLATE(B34, ""en"", ""tr"")"),"Sonraki ipucu")</f>
        <v>Sonraki ipucu</v>
      </c>
      <c r="G34" s="23" t="str">
        <f ca="1">IFERROR(__xludf.DUMMYFUNCTION("GOOGLETRANSLATE(B34, ""en"", ""pt"")"),"Próxima sugestão")</f>
        <v>Próxima sugestão</v>
      </c>
      <c r="H34" s="24" t="str">
        <f ca="1">IFERROR(__xludf.DUMMYFUNCTION("GOOGLETRANSLATE(B34, ""en"", ""de"")"),"Nächster Hinweis")</f>
        <v>Nächster Hinweis</v>
      </c>
      <c r="I34" s="23" t="str">
        <f ca="1">IFERROR(__xludf.DUMMYFUNCTION("GOOGLETRANSLATE(B34, ""en"", ""pl"")"),"Następna wskazówka")</f>
        <v>Następna wskazówka</v>
      </c>
      <c r="J34" s="25" t="str">
        <f ca="1">IFERROR(__xludf.DUMMYFUNCTION("GOOGLETRANSLATE(B34, ""en"", ""zh"")"),"下一个提示")</f>
        <v>下一个提示</v>
      </c>
      <c r="K34" s="25" t="str">
        <f ca="1">IFERROR(__xludf.DUMMYFUNCTION("GOOGLETRANSLATE(B34, ""en"", ""vi"")"),"Gợi ý tiếp theo")</f>
        <v>Gợi ý tiếp theo</v>
      </c>
      <c r="L34" s="26" t="str">
        <f ca="1">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spans="1:28" ht="15.75" customHeight="1" x14ac:dyDescent="0.15">
      <c r="A35" s="21" t="s">
        <v>86</v>
      </c>
      <c r="B35" s="22" t="s">
        <v>87</v>
      </c>
      <c r="C35" s="23" t="str">
        <f ca="1">IFERROR(__xludf.DUMMYFUNCTION("GOOGLETRANSLATE(B35, ""en"", ""fr"")"),"Dungeonz est open-source.")</f>
        <v>Dungeonz est open-source.</v>
      </c>
      <c r="D35" s="23" t="str">
        <f ca="1">IFERROR(__xludf.DUMMYFUNCTION("GOOGLETRANSLATE(B35, ""en"", ""es"")"),"Dungeonz es de código abierto.")</f>
        <v>Dungeonz es de código abierto.</v>
      </c>
      <c r="E35" s="23" t="s">
        <v>88</v>
      </c>
      <c r="F35" s="23" t="str">
        <f ca="1">IFERROR(__xludf.DUMMYFUNCTION("GOOGLETRANSLATE(B35, ""en"", ""tr"")"),"Dungeonz açık kaynaktır.")</f>
        <v>Dungeonz açık kaynaktır.</v>
      </c>
      <c r="G35" s="23" t="str">
        <f ca="1">IFERROR(__xludf.DUMMYFUNCTION("GOOGLETRANSLATE(B35, ""en"", ""pt"")"),"Dungeonz é de código aberto.")</f>
        <v>Dungeonz é de código aberto.</v>
      </c>
      <c r="H35" s="24" t="str">
        <f ca="1">IFERROR(__xludf.DUMMYFUNCTION("GOOGLETRANSLATE(B35, ""en"", ""de"")"),"Dungeonz ist Open-Source.")</f>
        <v>Dungeonz ist Open-Source.</v>
      </c>
      <c r="I35" s="23" t="str">
        <f ca="1">IFERROR(__xludf.DUMMYFUNCTION("GOOGLETRANSLATE(B35, ""en"", ""pl"")"),"Dungeonz jest źródłem otwarcia.")</f>
        <v>Dungeonz jest źródłem otwarcia.</v>
      </c>
      <c r="J35" s="25" t="str">
        <f ca="1">IFERROR(__xludf.DUMMYFUNCTION("GOOGLETRANSLATE(B35, ""en"", ""zh"")"),"dungeonz是开源的。")</f>
        <v>dungeonz是开源的。</v>
      </c>
      <c r="K35" s="25" t="str">
        <f ca="1">IFERROR(__xludf.DUMMYFUNCTION("GOOGLETRANSLATE(B35, ""en"", ""vi"")"),"Dungeonz là nguồn mở.")</f>
        <v>Dungeonz là nguồn mở.</v>
      </c>
      <c r="L35" s="26" t="str">
        <f ca="1">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spans="1:28" ht="15.75" customHeight="1" x14ac:dyDescent="0.15">
      <c r="A36" s="21" t="s">
        <v>89</v>
      </c>
      <c r="B36" s="22" t="s">
        <v>90</v>
      </c>
      <c r="C36" s="23" t="str">
        <f ca="1">IFERROR(__xludf.DUMMYFUNCTION("GOOGLETRANSLATE(B36, ""en"", ""fr"")"),"Certaines créatures n'apparaissent que la nuit.")</f>
        <v>Certaines créatures n'apparaissent que la nuit.</v>
      </c>
      <c r="D36" s="23" t="str">
        <f ca="1">IFERROR(__xludf.DUMMYFUNCTION("GOOGLETRANSLATE(B36, ""en"", ""es"")"),"Algunas criaturas solo aparecen por la noche.")</f>
        <v>Algunas criaturas solo aparecen por la noche.</v>
      </c>
      <c r="E36" s="23" t="s">
        <v>91</v>
      </c>
      <c r="F36" s="23" t="str">
        <f ca="1">IFERROR(__xludf.DUMMYFUNCTION("GOOGLETRANSLATE(B36, ""en"", ""tr"")"),"Bazı yaratıklar sadece geceleri görünür.")</f>
        <v>Bazı yaratıklar sadece geceleri görünür.</v>
      </c>
      <c r="G36" s="23" t="str">
        <f ca="1">IFERROR(__xludf.DUMMYFUNCTION("GOOGLETRANSLATE(B36, ""en"", ""pt"")"),"Algumas criaturas só aparecem à noite.")</f>
        <v>Algumas criaturas só aparecem à noite.</v>
      </c>
      <c r="H36" s="24" t="str">
        <f ca="1">IFERROR(__xludf.DUMMYFUNCTION("GOOGLETRANSLATE(B36, ""en"", ""de"")"),"Einige Kreaturen erscheinen nur nachts.")</f>
        <v>Einige Kreaturen erscheinen nur nachts.</v>
      </c>
      <c r="I36" s="23" t="str">
        <f ca="1">IFERROR(__xludf.DUMMYFUNCTION("GOOGLETRANSLATE(B36, ""en"", ""pl"")"),"Niektóre stworzenia pojawiają się tylko w nocy.")</f>
        <v>Niektóre stworzenia pojawiają się tylko w nocy.</v>
      </c>
      <c r="J36" s="25" t="str">
        <f ca="1">IFERROR(__xludf.DUMMYFUNCTION("GOOGLETRANSLATE(B36, ""en"", ""zh"")"),"有些生物只出现在晚上。")</f>
        <v>有些生物只出现在晚上。</v>
      </c>
      <c r="K36" s="25" t="str">
        <f ca="1">IFERROR(__xludf.DUMMYFUNCTION("GOOGLETRANSLATE(B36, ""en"", ""vi"")"),"Một số sinh vật chỉ xuất hiện vào ban đêm.")</f>
        <v>Một số sinh vật chỉ xuất hiện vào ban đêm.</v>
      </c>
      <c r="L36" s="26" t="str">
        <f ca="1">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spans="1:28" ht="15.75" customHeight="1" x14ac:dyDescent="0.15">
      <c r="A37" s="21" t="s">
        <v>92</v>
      </c>
      <c r="B37" s="22" t="s">
        <v>93</v>
      </c>
      <c r="C37" s="23" t="s">
        <v>94</v>
      </c>
      <c r="D37" s="23" t="str">
        <f ca="1">IFERROR(__xludf.DUMMYFUNCTION("GOOGLETRANSLATE(B37, ""en"", ""es"")"),"Los recursos más altos se pueden encontrar más lejos de la ciudad inicial.")</f>
        <v>Los recursos más altos se pueden encontrar más lejos de la ciudad inicial.</v>
      </c>
      <c r="E37" s="23" t="str">
        <f ca="1">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 ca="1">IFERROR(__xludf.DUMMYFUNCTION("GOOGLETRANSLATE(B37, ""en"", ""tr"")"),"Başlangıçtaki şehirden daha yüksek katmanlı kaynaklar bulunabilir.")</f>
        <v>Başlangıçtaki şehirden daha yüksek katmanlı kaynaklar bulunabilir.</v>
      </c>
      <c r="G37" s="23" t="str">
        <f ca="1">IFERROR(__xludf.DUMMYFUNCTION("GOOGLETRANSLATE(B37, ""en"", ""pt"")"),"Recursos de nível superior podem ser encontrados mais longe da cidade inicial.")</f>
        <v>Recursos de nível superior podem ser encontrados mais longe da cidade inicial.</v>
      </c>
      <c r="H37" s="24" t="str">
        <f ca="1">IFERROR(__xludf.DUMMYFUNCTION("GOOGLETRANSLATE(B37, ""en"", ""de"")"),"Höhere Tierressourcen finden Sie weiter von der Startstadt.")</f>
        <v>Höhere Tierressourcen finden Sie weiter von der Startstadt.</v>
      </c>
      <c r="I37" s="23" t="str">
        <f ca="1">IFERROR(__xludf.DUMMYFUNCTION("GOOGLETRANSLATE(B37, ""en"", ""pl"")"),"Wyższe zasoby poziomów można znaleźć dalej od miasta startowego.")</f>
        <v>Wyższe zasoby poziomów można znaleźć dalej od miasta startowego.</v>
      </c>
      <c r="J37" s="25" t="str">
        <f ca="1">IFERROR(__xludf.DUMMYFUNCTION("GOOGLETRANSLATE(B37, ""en"", ""zh"")"),"可以从起始城市进一步找到更高的层资源。")</f>
        <v>可以从起始城市进一步找到更高的层资源。</v>
      </c>
      <c r="K37" s="25" t="str">
        <f ca="1">IFERROR(__xludf.DUMMYFUNCTION("GOOGLETRANSLATE(B37, ""en"", ""vi"")"),"Tài nguyên cấp cao hơn có thể được tìm thấy xa hơn từ thành phố bắt đầu.")</f>
        <v>Tài nguyên cấp cao hơn có thể được tìm thấy xa hơn từ thành phố bắt đầu.</v>
      </c>
      <c r="L37" s="26" t="str">
        <f ca="1">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spans="1:28" ht="15.75" customHeight="1" x14ac:dyDescent="0.15">
      <c r="A38" s="21" t="s">
        <v>95</v>
      </c>
      <c r="B38" s="22" t="s">
        <v>96</v>
      </c>
      <c r="C38" s="23" t="s">
        <v>97</v>
      </c>
      <c r="D38" s="23" t="str">
        <f ca="1">IFERROR(__xludf.DUMMYFUNCTION("GOOGLETRANSLATE(B38, ""en"", ""es"")"),"Los portales de mazmorras se extienden por todo el mundo. Cada uno conduce a un desafío diferente.")</f>
        <v>Los portales de mazmorras se extienden por todo el mundo. Cada uno conduce a un desafío diferente.</v>
      </c>
      <c r="E38" s="23" t="str">
        <f ca="1">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 ca="1">IFERROR(__xludf.DUMMYFUNCTION("GOOGLETRANSLATE(B38, ""en"", ""tr"")"),"Zindan portalları dünyaya yayılır. Her biri farklı bir zorluğa yol açar.")</f>
        <v>Zindan portalları dünyaya yayılır. Her biri farklı bir zorluğa yol açar.</v>
      </c>
      <c r="G38" s="23" t="str">
        <f ca="1">IFERROR(__xludf.DUMMYFUNCTION("GOOGLETRANSLATE(B38, ""en"", ""pt"")"),"Portais da masmorra são espalhados por todo o mundo. Cada um leva a um desafio diferente.")</f>
        <v>Portais da masmorra são espalhados por todo o mundo. Cada um leva a um desafio diferente.</v>
      </c>
      <c r="H38" s="24" t="str">
        <f ca="1">IFERROR(__xludf.DUMMYFUNCTION("GOOGLETRANSLATE(B38, ""en"", ""de"")"),"Dungeon-Portale sind auf der ganzen Welt verbreitet. Jeder führt zu einer anderen Herausforderung.")</f>
        <v>Dungeon-Portale sind auf der ganzen Welt verbreitet. Jeder führt zu einer anderen Herausforderung.</v>
      </c>
      <c r="I38" s="23" t="str">
        <f ca="1">IFERROR(__xludf.DUMMYFUNCTION("GOOGLETRANSLATE(B38, ""en"", ""pl"")"),"Portale Dungeon są rozprowadzane na całym świecie. Każdy prowadzi do innego wyzwania.")</f>
        <v>Portale Dungeon są rozprowadzane na całym świecie. Każdy prowadzi do innego wyzwania.</v>
      </c>
      <c r="J38" s="25" t="str">
        <f ca="1">IFERROR(__xludf.DUMMYFUNCTION("GOOGLETRANSLATE(B38, ""en"", ""zh"")"),"地牢门户遍布全球。每个人都会导致不同的挑战。")</f>
        <v>地牢门户遍布全球。每个人都会导致不同的挑战。</v>
      </c>
      <c r="K38" s="25" t="str">
        <f ca="1">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 ca="1">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spans="1:28" ht="15.75" customHeight="1" x14ac:dyDescent="0.15">
      <c r="A39" s="21" t="s">
        <v>98</v>
      </c>
      <c r="B39" s="22" t="s">
        <v>99</v>
      </c>
      <c r="C39" s="23" t="s">
        <v>100</v>
      </c>
      <c r="D39" s="23" t="str">
        <f ca="1">IFERROR(__xludf.DUMMYFUNCTION("GOOGLETRANSLATE(B39, ""en"", ""es"")"),"A veces, los jefes se pueden encontrar en el Overworld.")</f>
        <v>A veces, los jefes se pueden encontrar en el Overworld.</v>
      </c>
      <c r="E39" s="23" t="str">
        <f ca="1">IFERROR(__xludf.DUMMYFUNCTION("GOOGLETRANSLATE(B39, ""en"", ""ru"")"),"Иногда боссы можно найти на чрезмерном мире.")</f>
        <v>Иногда боссы можно найти на чрезмерном мире.</v>
      </c>
      <c r="F39" s="23" t="str">
        <f ca="1">IFERROR(__xludf.DUMMYFUNCTION("GOOGLETRANSLATE(B39, ""en"", ""tr"")"),"Bazen patronlar overworld'de bulunabilir.")</f>
        <v>Bazen patronlar overworld'de bulunabilir.</v>
      </c>
      <c r="G39" s="23" t="str">
        <f ca="1">IFERROR(__xludf.DUMMYFUNCTION("GOOGLETRANSLATE(B39, ""en"", ""pt"")"),"Às vezes os chefes podem ser encontrados no mundo inteiro.")</f>
        <v>Às vezes os chefes podem ser encontrados no mundo inteiro.</v>
      </c>
      <c r="H39" s="24" t="str">
        <f ca="1">IFERROR(__xludf.DUMMYFUNCTION("GOOGLETRANSLATE(B39, ""en"", ""de"")"),"Manchmal sind Bosse auf der Overworld zu finden.")</f>
        <v>Manchmal sind Bosse auf der Overworld zu finden.</v>
      </c>
      <c r="I39" s="23" t="str">
        <f ca="1">IFERROR(__xludf.DUMMYFUNCTION("GOOGLETRANSLATE(B39, ""en"", ""pl"")"),"Czasami szefowie można znaleźć na nadawstwieniu.")</f>
        <v>Czasami szefowie można znaleźć na nadawstwieniu.</v>
      </c>
      <c r="J39" s="25" t="str">
        <f ca="1">IFERROR(__xludf.DUMMYFUNCTION("GOOGLETRANSLATE(B39, ""en"", ""zh"")"),"有时老板可以在Overworld找到。")</f>
        <v>有时老板可以在Overworld找到。</v>
      </c>
      <c r="K39" s="25" t="str">
        <f ca="1">IFERROR(__xludf.DUMMYFUNCTION("GOOGLETRANSLATE(B39, ""en"", ""vi"")"),"Đôi khi các ông chủ có thể được tìm thấy trên thế giới quá.")</f>
        <v>Đôi khi các ông chủ có thể được tìm thấy trên thế giới quá.</v>
      </c>
      <c r="L39" s="26" t="str">
        <f ca="1">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spans="1:28" ht="15.75" customHeight="1" x14ac:dyDescent="0.15">
      <c r="A40" s="21" t="s">
        <v>101</v>
      </c>
      <c r="B40" s="22" t="s">
        <v>102</v>
      </c>
      <c r="C40" s="23" t="s">
        <v>103</v>
      </c>
      <c r="D40" s="23" t="str">
        <f ca="1">IFERROR(__xludf.DUMMYFUNCTION("GOOGLETRANSLATE(B40, ""en"", ""es"")"),"Cada nivel de estadísticas ganado aumenta su peso máximo de inventario.")</f>
        <v>Cada nivel de estadísticas ganado aumenta su peso máximo de inventario.</v>
      </c>
      <c r="E40" s="23" t="str">
        <f ca="1">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 ca="1">IFERROR(__xludf.DUMMYFUNCTION("GOOGLETRANSLATE(B40, ""en"", ""tr"")"),"Kazanılan her stat seviyesi maksimum envanter ağırlığınızı arttırır.")</f>
        <v>Kazanılan her stat seviyesi maksimum envanter ağırlığınızı arttırır.</v>
      </c>
      <c r="G40" s="23" t="str">
        <f ca="1">IFERROR(__xludf.DUMMYFUNCTION("GOOGLETRANSLATE(B40, ""en"", ""pt"")"),"Cada nível de estatística ganhou aumenta o seu peso máximo de inventário.")</f>
        <v>Cada nível de estatística ganhou aumenta o seu peso máximo de inventário.</v>
      </c>
      <c r="H40" s="24" t="str">
        <f ca="1">IFERROR(__xludf.DUMMYFUNCTION("GOOGLETRANSLATE(B40, ""en"", ""de"")"),"Jede gewonnene Statelstufe erhöht Ihr maximales Inventargewicht.")</f>
        <v>Jede gewonnene Statelstufe erhöht Ihr maximales Inventargewicht.</v>
      </c>
      <c r="I40" s="23" t="str">
        <f ca="1">IFERROR(__xludf.DUMMYFUNCTION("GOOGLETRANSLATE(B40, ""en"", ""pl"")"),"Każdy poziom statystyki uzyskał zwiększa maksymalną wagę zapasów.")</f>
        <v>Każdy poziom statystyki uzyskał zwiększa maksymalną wagę zapasów.</v>
      </c>
      <c r="J40" s="25" t="str">
        <f ca="1">IFERROR(__xludf.DUMMYFUNCTION("GOOGLETRANSLATE(B40, ""en"", ""zh"")"),"获得的每个统计水平都增加了最大库存重量。")</f>
        <v>获得的每个统计水平都增加了最大库存重量。</v>
      </c>
      <c r="K40" s="25" t="str">
        <f ca="1">IFERROR(__xludf.DUMMYFUNCTION("GOOGLETRANSLATE(B40, ""en"", ""vi"")"),"Mỗi mức thống kê tăng tăng trọng lượng hàng tồn kho tối đa của bạn.")</f>
        <v>Mỗi mức thống kê tăng tăng trọng lượng hàng tồn kho tối đa của bạn.</v>
      </c>
      <c r="L40" s="26" t="str">
        <f ca="1">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spans="1:28" ht="15.75" customHeight="1" x14ac:dyDescent="0.15">
      <c r="A41" s="21" t="s">
        <v>104</v>
      </c>
      <c r="B41" s="22" t="s">
        <v>105</v>
      </c>
      <c r="C41" s="23" t="s">
        <v>106</v>
      </c>
      <c r="D41" s="23" t="str">
        <f ca="1">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 ca="1">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 ca="1">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 ca="1">IFERROR(__xludf.DUMMYFUNCTION("GOOGLETRANSLATE(B41, ""en"", ""pt"")"),"Com estatísticas de artesanato mais altas, itens criados aumentaram a quantidade ou a durabilidade.")</f>
        <v>Com estatísticas de artesanato mais altas, itens criados aumentaram a quantidade ou a durabilidade.</v>
      </c>
      <c r="H41" s="24" t="str">
        <f ca="1">IFERROR(__xludf.DUMMYFUNCTION("GOOGLETRANSLATE(B41, ""en"", ""de"")"),"Mit höheren Handwerksstatistiken haben fertige Gegenstände eine erhöhte Menge oder Haltbarkeit.")</f>
        <v>Mit höheren Handwerksstatistiken haben fertige Gegenstände eine erhöhte Menge oder Haltbarkeit.</v>
      </c>
      <c r="I41" s="23" t="str">
        <f ca="1">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 ca="1">IFERROR(__xludf.DUMMYFUNCTION("GOOGLETRANSLATE(B41, ""en"", ""zh"")"),"具有较高的制作统计数据，制作物品的数量或耐用性增加。")</f>
        <v>具有较高的制作统计数据，制作物品的数量或耐用性增加。</v>
      </c>
      <c r="K41" s="25" t="str">
        <f ca="1">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 ca="1">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spans="1:28" ht="15.75" customHeight="1" x14ac:dyDescent="0.15">
      <c r="A42" s="21" t="s">
        <v>107</v>
      </c>
      <c r="B42" s="22" t="s">
        <v>108</v>
      </c>
      <c r="C42" s="23" t="s">
        <v>109</v>
      </c>
      <c r="D42" s="23" t="str">
        <f ca="1">IFERROR(__xludf.DUMMYFUNCTION("GOOGLETRANSLATE(B42, ""en"", ""es"")"),"Únase al servidor de la discordia para obtener ayuda, comercio o sugerencias.")</f>
        <v>Únase al servidor de la discordia para obtener ayuda, comercio o sugerencias.</v>
      </c>
      <c r="E42" s="23" t="str">
        <f ca="1">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 ca="1">IFERROR(__xludf.DUMMYFUNCTION("GOOGLETRANSLATE(B42, ""en"", ""tr"")"),"Yardım, ticaret yapmak veya öneride bulunmak için Discord sunucusuna katılın.")</f>
        <v>Yardım, ticaret yapmak veya öneride bulunmak için Discord sunucusuna katılın.</v>
      </c>
      <c r="G42" s="23" t="str">
        <f ca="1">IFERROR(__xludf.DUMMYFUNCTION("GOOGLETRANSLATE(B42, ""en"", ""pt"")"),"Participe do servidor de discórdia para obter ajuda, negociação ou fazer sugestões.")</f>
        <v>Participe do servidor de discórdia para obter ajuda, negociação ou fazer sugestões.</v>
      </c>
      <c r="H42" s="24" t="str">
        <f ca="1">IFERROR(__xludf.DUMMYFUNCTION("GOOGLETRANSLATE(B42, ""en"", ""de"")"),"Treten Sie dem Discord-Server bei, um Hilfe, Handel, Handel zu erhalten, oder Vorschläge zu machen.")</f>
        <v>Treten Sie dem Discord-Server bei, um Hilfe, Handel, Handel zu erhalten, oder Vorschläge zu machen.</v>
      </c>
      <c r="I42" s="23" t="str">
        <f ca="1">IFERROR(__xludf.DUMMYFUNCTION("GOOGLETRANSLATE(B42, ""en"", ""pl"")"),"Dołącz do serwera Discord, aby uzyskać pomoc, handel lub sugestie.")</f>
        <v>Dołącz do serwera Discord, aby uzyskać pomoc, handel lub sugestie.</v>
      </c>
      <c r="J42" s="25" t="str">
        <f ca="1">IFERROR(__xludf.DUMMYFUNCTION("GOOGLETRANSLATE(B42, ""en"", ""zh"")"),"加入Discord Server以获得帮助，交易或提出建议。")</f>
        <v>加入Discord Server以获得帮助，交易或提出建议。</v>
      </c>
      <c r="K42" s="25" t="str">
        <f ca="1">IFERROR(__xludf.DUMMYFUNCTION("GOOGLETRANSLATE(B42, ""en"", ""vi"")"),"Tham gia máy chủ Discord để nhận trợ giúp, giao dịch hoặc đưa ra gợi ý.")</f>
        <v>Tham gia máy chủ Discord để nhận trợ giúp, giao dịch hoặc đưa ra gợi ý.</v>
      </c>
      <c r="L42" s="26" t="str">
        <f ca="1">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spans="1:28" ht="15.75" customHeight="1" x14ac:dyDescent="0.15">
      <c r="A43" s="21" t="s">
        <v>110</v>
      </c>
      <c r="B43" s="22" t="s">
        <v>111</v>
      </c>
      <c r="C43" s="23" t="str">
        <f ca="1">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 ca="1">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 ca="1">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 ca="1">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 ca="1">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 ca="1">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 ca="1">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 ca="1">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 ca="1">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 ca="1">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spans="1:28" ht="15.75" customHeight="1" x14ac:dyDescent="0.15">
      <c r="A44" s="21" t="s">
        <v>112</v>
      </c>
      <c r="B44" s="22" t="s">
        <v>113</v>
      </c>
      <c r="C44" s="23" t="s">
        <v>114</v>
      </c>
      <c r="D44" s="23" t="str">
        <f ca="1">IFERROR(__xludf.DUMMYFUNCTION("GOOGLETRANSLATE(B44, ""en"", ""es"")"),"Los BlueCaps se pueden encontrar junto al agua.")</f>
        <v>Los BlueCaps se pueden encontrar junto al agua.</v>
      </c>
      <c r="E44" s="23" t="str">
        <f ca="1">IFERROR(__xludf.DUMMYFUNCTION("GOOGLETRANSLATE(B44, ""en"", ""ru"")"),"Bluecaps можно найти рядом с водой.")</f>
        <v>Bluecaps можно найти рядом с водой.</v>
      </c>
      <c r="F44" s="23" t="str">
        <f ca="1">IFERROR(__xludf.DUMMYFUNCTION("GOOGLETRANSLATE(B44, ""en"", ""tr"")"),"Bluecaps suyun yanında bulunabilir.")</f>
        <v>Bluecaps suyun yanında bulunabilir.</v>
      </c>
      <c r="G44" s="23" t="str">
        <f ca="1">IFERROR(__xludf.DUMMYFUNCTION("GOOGLETRANSLATE(B44, ""en"", ""pt"")"),"BlueCaps pode ser encontrado ao lado da água.")</f>
        <v>BlueCaps pode ser encontrado ao lado da água.</v>
      </c>
      <c r="H44" s="24" t="str">
        <f ca="1">IFERROR(__xludf.DUMMYFUNCTION("GOOGLETRANSLATE(B44, ""en"", ""de"")"),"Bluebappen können neben Wasser gefunden werden.")</f>
        <v>Bluebappen können neben Wasser gefunden werden.</v>
      </c>
      <c r="I44" s="23" t="str">
        <f ca="1">IFERROR(__xludf.DUMMYFUNCTION("GOOGLETRANSLATE(B44, ""en"", ""pl"")"),"Bluecaps można znaleźć obok wody.")</f>
        <v>Bluecaps można znaleźć obok wody.</v>
      </c>
      <c r="J44" s="25" t="str">
        <f ca="1">IFERROR(__xludf.DUMMYFUNCTION("GOOGLETRANSLATE(B44, ""en"", ""zh"")"),"Bluecaps可以在水旁边找到。")</f>
        <v>Bluecaps可以在水旁边找到。</v>
      </c>
      <c r="K44" s="25" t="str">
        <f ca="1">IFERROR(__xludf.DUMMYFUNCTION("GOOGLETRANSLATE(B44, ""en"", ""vi"")"),"BlueCaps có thể được tìm thấy bên cạnh nước.")</f>
        <v>BlueCaps có thể được tìm thấy bên cạnh nước.</v>
      </c>
      <c r="L44" s="26" t="str">
        <f ca="1">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spans="1:28" ht="15.75" customHeight="1" x14ac:dyDescent="0.15">
      <c r="A45" s="21" t="s">
        <v>115</v>
      </c>
      <c r="B45" s="22" t="s">
        <v>116</v>
      </c>
      <c r="C45" s="23" t="s">
        <v>117</v>
      </c>
      <c r="D45" s="23" t="str">
        <f ca="1">IFERROR(__xludf.DUMMYFUNCTION("GOOGLETRANSLATE(B45, ""en"", ""es"")"),"RedCaps se pueden encontrar en cuevas.")</f>
        <v>RedCaps se pueden encontrar en cuevas.</v>
      </c>
      <c r="E45" s="23" t="str">
        <f ca="1">IFERROR(__xludf.DUMMYFUNCTION("GOOGLETRANSLATE(B45, ""en"", ""ru"")"),"Redcaps можно найти в пещерах.")</f>
        <v>Redcaps можно найти в пещерах.</v>
      </c>
      <c r="F45" s="23" t="str">
        <f ca="1">IFERROR(__xludf.DUMMYFUNCTION("GOOGLETRANSLATE(B45, ""en"", ""tr"")"),"RedCaps mağaralarda bulunabilir.")</f>
        <v>RedCaps mağaralarda bulunabilir.</v>
      </c>
      <c r="G45" s="23" t="str">
        <f ca="1">IFERROR(__xludf.DUMMYFUNCTION("GOOGLETRANSLATE(B45, ""en"", ""pt"")"),"Redcaps podem ser encontrados em cavernas.")</f>
        <v>Redcaps podem ser encontrados em cavernas.</v>
      </c>
      <c r="H45" s="24" t="str">
        <f ca="1">IFERROR(__xludf.DUMMYFUNCTION("GOOGLETRANSLATE(B45, ""en"", ""de"")"),"Redcaps können in Höhlen gefunden werden.")</f>
        <v>Redcaps können in Höhlen gefunden werden.</v>
      </c>
      <c r="I45" s="23" t="str">
        <f ca="1">IFERROR(__xludf.DUMMYFUNCTION("GOOGLETRANSLATE(B45, ""en"", ""pl"")"),"RedCaps można znaleźć w jaskiniach.")</f>
        <v>RedCaps można znaleźć w jaskiniach.</v>
      </c>
      <c r="J45" s="25" t="str">
        <f ca="1">IFERROR(__xludf.DUMMYFUNCTION("GOOGLETRANSLATE(B45, ""en"", ""zh"")"),"Redcaps可以在洞穴中找到。")</f>
        <v>Redcaps可以在洞穴中找到。</v>
      </c>
      <c r="K45" s="25" t="str">
        <f ca="1">IFERROR(__xludf.DUMMYFUNCTION("GOOGLETRANSLATE(B45, ""en"", ""vi"")"),"Redcaps có thể được tìm thấy trong hang động.")</f>
        <v>Redcaps có thể được tìm thấy trong hang động.</v>
      </c>
      <c r="L45" s="26" t="str">
        <f ca="1">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spans="1:28" ht="15.75" customHeight="1" x14ac:dyDescent="0.15">
      <c r="A46" s="21" t="s">
        <v>118</v>
      </c>
      <c r="B46" s="22" t="s">
        <v>119</v>
      </c>
      <c r="C46" s="23" t="s">
        <v>117</v>
      </c>
      <c r="D46" s="23" t="str">
        <f ca="1">IFERROR(__xludf.DUMMYFUNCTION("GOOGLETRANSLATE(B46, ""en"", ""es"")"),"Cuando se mata una criatura, todos los alrededores reciben el progreso de la gloria y la tarea como si lo mataran solo.")</f>
        <v>Cuando se mata una criatura, todos los alrededores reciben el progreso de la gloria y la tarea como si lo mataran solo.</v>
      </c>
      <c r="E46" s="23" t="str">
        <f ca="1">IFERROR(__xludf.DUMMYFUNCTION("GOOGLETRANSLATE(B46, ""en"", ""ru"")"),"Когда существо убито, все поблизости получают славу и прогресс задач, как будто они убили его в одиночку.")</f>
        <v>Когда существо убито, все поблизости получают славу и прогресс задач, как будто они убили его в одиночку.</v>
      </c>
      <c r="F46" s="23" t="str">
        <f ca="1">IFERROR(__xludf.DUMMYFUNCTION("GOOGLETRANSLATE(B46, ""en"", ""tr"")"),"Bir yaratık öldürüldüğünde, yakındaki herkes görkemli ve görev ilerlemesini alır.")</f>
        <v>Bir yaratık öldürüldüğünde, yakındaki herkes görkemli ve görev ilerlemesini alır.</v>
      </c>
      <c r="G46" s="23" t="str">
        <f ca="1">IFERROR(__xludf.DUMMYFUNCTION("GOOGLETRANSLATE(B46, ""en"", ""pt"")"),"Quando uma criatura é morta, todos nas proximidades recebem glória e progresso da tarefa como se eles o matassem sozinhos.")</f>
        <v>Quando uma criatura é morta, todos nas proximidades recebem glória e progresso da tarefa como se eles o matassem sozinhos.</v>
      </c>
      <c r="H46" s="24" t="str">
        <f ca="1">IFERROR(__xludf.DUMMYFUNCTION("GOOGLETRANSLATE(B46, ""en"", ""de"")"),"Wenn eine Kreatur getötet wird, empfängt alle nahe gelegenen Ruhm und Task-Fortschritt, als würden sie es alleine getötet haben.")</f>
        <v>Wenn eine Kreatur getötet wird, empfängt alle nahe gelegenen Ruhm und Task-Fortschritt, als würden sie es alleine getötet haben.</v>
      </c>
      <c r="I46" s="23" t="str">
        <f ca="1">IFERROR(__xludf.DUMMYFUNCTION("GOOGLETRANSLATE(B46, ""en"", ""pl"")"),"Kiedy zabija się stworzenie, wszyscy pobliski otrzymują chwałę i postępy zadania, jakby zabili go sam.")</f>
        <v>Kiedy zabija się stworzenie, wszyscy pobliski otrzymują chwałę i postępy zadania, jakby zabili go sam.</v>
      </c>
      <c r="J46" s="25" t="str">
        <f ca="1">IFERROR(__xludf.DUMMYFUNCTION("GOOGLETRANSLATE(B46, ""en"", ""zh"")"),"当一个生物被杀时，附近的每个人都会收到荣耀和任务进步，好像他们独自杀死它。")</f>
        <v>当一个生物被杀时，附近的每个人都会收到荣耀和任务进步，好像他们独自杀死它。</v>
      </c>
      <c r="K46" s="25" t="str">
        <f ca="1">IFERROR(__xludf.DUMMYFUNCTION("GOOGLETRANSLATE(B46, ""en"", ""vi"")"),"Khi một sinh vật bị giết, mọi người ở gần đều nhận được sự tiến bộ về vinh quang và nhiệm vụ như thể họ đã giết nó một mình.")</f>
        <v>Khi một sinh vật bị giết, mọi người ở gần đều nhận được sự tiến bộ về vinh quang và nhiệm vụ như thể họ đã giết nó một mình.</v>
      </c>
      <c r="L46" s="26" t="str">
        <f ca="1">IFERROR(__xludf.DUMMYFUNCTION("GOOGLETRANSLATE(B46, ""en"", ""hr"")"),"Kada je stvorenje ubijeno, svi u blizini dobivaju slavu i zadatak napredak kao da ga ubili sami.")</f>
        <v>Kada je stvorenje ubijeno, svi u blizini dobivaju slavu i zadatak napredak kao da ga ubili sami.</v>
      </c>
      <c r="M46" s="27"/>
      <c r="N46" s="28"/>
      <c r="O46" s="28"/>
      <c r="P46" s="28"/>
      <c r="Q46" s="28"/>
      <c r="R46" s="28"/>
      <c r="S46" s="28"/>
      <c r="T46" s="28"/>
      <c r="U46" s="28"/>
      <c r="V46" s="28"/>
      <c r="W46" s="28"/>
      <c r="X46" s="28"/>
      <c r="Y46" s="28"/>
      <c r="Z46" s="28"/>
      <c r="AA46" s="28"/>
      <c r="AB46" s="28"/>
    </row>
    <row r="47" spans="1:28" ht="15.75" customHeight="1" x14ac:dyDescent="0.15">
      <c r="A47" s="21" t="s">
        <v>120</v>
      </c>
      <c r="B47" s="22" t="s">
        <v>120</v>
      </c>
      <c r="C47" s="23" t="str">
        <f ca="1">IFERROR(__xludf.DUMMYFUNCTION("GOOGLETRANSLATE(B47, ""en"", ""fr"")"),"Acheter")</f>
        <v>Acheter</v>
      </c>
      <c r="D47" s="23" t="str">
        <f ca="1">IFERROR(__xludf.DUMMYFUNCTION("GOOGLETRANSLATE(B47, ""en"", ""es"")"),"Comprar")</f>
        <v>Comprar</v>
      </c>
      <c r="E47" s="23" t="str">
        <f ca="1">IFERROR(__xludf.DUMMYFUNCTION("GOOGLETRANSLATE(B47, ""en"", ""ru"")"),"Купить")</f>
        <v>Купить</v>
      </c>
      <c r="F47" s="23" t="str">
        <f ca="1">IFERROR(__xludf.DUMMYFUNCTION("GOOGLETRANSLATE(B47, ""en"", ""tr"")"),"Satın almak")</f>
        <v>Satın almak</v>
      </c>
      <c r="G47" s="23" t="str">
        <f ca="1">IFERROR(__xludf.DUMMYFUNCTION("GOOGLETRANSLATE(B47, ""en"", ""pt"")"),"Comprar")</f>
        <v>Comprar</v>
      </c>
      <c r="H47" s="24" t="str">
        <f ca="1">IFERROR(__xludf.DUMMYFUNCTION("GOOGLETRANSLATE(B47, ""en"", ""de"")"),"Besorgen")</f>
        <v>Besorgen</v>
      </c>
      <c r="I47" s="23" t="str">
        <f ca="1">IFERROR(__xludf.DUMMYFUNCTION("GOOGLETRANSLATE(B47, ""en"", ""pl"")"),"Kupić")</f>
        <v>Kupić</v>
      </c>
      <c r="J47" s="25" t="str">
        <f ca="1">IFERROR(__xludf.DUMMYFUNCTION("GOOGLETRANSLATE(B47, ""en"", ""zh"")"),"买")</f>
        <v>买</v>
      </c>
      <c r="K47" s="25" t="str">
        <f ca="1">IFERROR(__xludf.DUMMYFUNCTION("GOOGLETRANSLATE(B47, ""en"", ""vi"")"),"Mua")</f>
        <v>Mua</v>
      </c>
      <c r="L47" s="26" t="str">
        <f ca="1">IFERROR(__xludf.DUMMYFUNCTION("GOOGLETRANSLATE(B47, ""en"", ""hr"")"),"Kupiti")</f>
        <v>Kupiti</v>
      </c>
      <c r="M47" s="27"/>
      <c r="N47" s="28"/>
      <c r="O47" s="28"/>
      <c r="P47" s="28"/>
      <c r="Q47" s="28"/>
      <c r="R47" s="28"/>
      <c r="S47" s="28"/>
      <c r="T47" s="28"/>
      <c r="U47" s="28"/>
      <c r="V47" s="28"/>
      <c r="W47" s="28"/>
      <c r="X47" s="28"/>
      <c r="Y47" s="28"/>
      <c r="Z47" s="28"/>
      <c r="AA47" s="28"/>
      <c r="AB47" s="28"/>
    </row>
    <row r="48" spans="1:28" ht="15.75" customHeight="1" x14ac:dyDescent="0.15">
      <c r="A48" s="21" t="s">
        <v>121</v>
      </c>
      <c r="B48" s="22" t="s">
        <v>121</v>
      </c>
      <c r="C48" s="23" t="s">
        <v>122</v>
      </c>
      <c r="D48" s="23" t="str">
        <f ca="1">IFERROR(__xludf.DUMMYFUNCTION("GOOGLETRANSLATE(B48, ""en"", ""es"")"),"Aceptar")</f>
        <v>Aceptar</v>
      </c>
      <c r="E48" s="23" t="str">
        <f ca="1">IFERROR(__xludf.DUMMYFUNCTION("GOOGLETRANSLATE(B48, ""en"", ""ru"")"),"Принимать")</f>
        <v>Принимать</v>
      </c>
      <c r="F48" s="23" t="str">
        <f ca="1">IFERROR(__xludf.DUMMYFUNCTION("GOOGLETRANSLATE(B48, ""en"", ""tr"")"),"Kabul etmek")</f>
        <v>Kabul etmek</v>
      </c>
      <c r="G48" s="23" t="str">
        <f ca="1">IFERROR(__xludf.DUMMYFUNCTION("GOOGLETRANSLATE(B48, ""en"", ""pt"")"),"Aceitar")</f>
        <v>Aceitar</v>
      </c>
      <c r="H48" s="24" t="str">
        <f ca="1">IFERROR(__xludf.DUMMYFUNCTION("GOOGLETRANSLATE(B48, ""en"", ""de"")"),"Annehmen")</f>
        <v>Annehmen</v>
      </c>
      <c r="I48" s="23" t="str">
        <f ca="1">IFERROR(__xludf.DUMMYFUNCTION("GOOGLETRANSLATE(B48, ""en"", ""pl"")"),"Zaakceptować")</f>
        <v>Zaakceptować</v>
      </c>
      <c r="J48" s="25" t="str">
        <f ca="1">IFERROR(__xludf.DUMMYFUNCTION("GOOGLETRANSLATE(B48, ""en"", ""zh"")"),"接受")</f>
        <v>接受</v>
      </c>
      <c r="K48" s="25" t="str">
        <f ca="1">IFERROR(__xludf.DUMMYFUNCTION("GOOGLETRANSLATE(B48, ""en"", ""vi"")"),"Chấp nhận")</f>
        <v>Chấp nhận</v>
      </c>
      <c r="L48" s="26" t="str">
        <f ca="1">IFERROR(__xludf.DUMMYFUNCTION("GOOGLETRANSLATE(B48, ""en"", ""hr"")"),"Prihvatiti")</f>
        <v>Prihvatiti</v>
      </c>
      <c r="M48" s="27"/>
      <c r="N48" s="28"/>
      <c r="O48" s="28"/>
      <c r="P48" s="28"/>
      <c r="Q48" s="28"/>
      <c r="R48" s="28"/>
      <c r="S48" s="28"/>
      <c r="T48" s="28"/>
      <c r="U48" s="28"/>
      <c r="V48" s="28"/>
      <c r="W48" s="28"/>
      <c r="X48" s="28"/>
      <c r="Y48" s="28"/>
      <c r="Z48" s="28"/>
      <c r="AA48" s="28"/>
      <c r="AB48" s="28"/>
    </row>
    <row r="49" spans="1:28" ht="15.75" customHeight="1" x14ac:dyDescent="0.15">
      <c r="A49" s="21" t="s">
        <v>123</v>
      </c>
      <c r="B49" s="22" t="s">
        <v>123</v>
      </c>
      <c r="C49" s="23" t="str">
        <f ca="1">IFERROR(__xludf.DUMMYFUNCTION("GOOGLETRANSLATE(B49, ""en"", ""fr"")"),"Spectacle")</f>
        <v>Spectacle</v>
      </c>
      <c r="D49" s="23" t="str">
        <f ca="1">IFERROR(__xludf.DUMMYFUNCTION("GOOGLETRANSLATE(B49, ""en"", ""es"")"),"Show")</f>
        <v>Show</v>
      </c>
      <c r="E49" s="23" t="str">
        <f ca="1">IFERROR(__xludf.DUMMYFUNCTION("GOOGLETRANSLATE(B49, ""en"", ""ru"")"),"Показать")</f>
        <v>Показать</v>
      </c>
      <c r="F49" s="23" t="str">
        <f ca="1">IFERROR(__xludf.DUMMYFUNCTION("GOOGLETRANSLATE(B49, ""en"", ""tr"")"),"Göstermek")</f>
        <v>Göstermek</v>
      </c>
      <c r="G49" s="23" t="str">
        <f ca="1">IFERROR(__xludf.DUMMYFUNCTION("GOOGLETRANSLATE(B49, ""en"", ""pt"")"),"Mostrar")</f>
        <v>Mostrar</v>
      </c>
      <c r="H49" s="24" t="str">
        <f ca="1">IFERROR(__xludf.DUMMYFUNCTION("GOOGLETRANSLATE(B49, ""en"", ""de"")"),"Zeigen")</f>
        <v>Zeigen</v>
      </c>
      <c r="I49" s="23" t="str">
        <f ca="1">IFERROR(__xludf.DUMMYFUNCTION("GOOGLETRANSLATE(B49, ""en"", ""pl"")"),"Pokazać")</f>
        <v>Pokazać</v>
      </c>
      <c r="J49" s="25" t="str">
        <f ca="1">IFERROR(__xludf.DUMMYFUNCTION("GOOGLETRANSLATE(B49, ""en"", ""zh"")"),"展示")</f>
        <v>展示</v>
      </c>
      <c r="K49" s="25" t="str">
        <f ca="1">IFERROR(__xludf.DUMMYFUNCTION("GOOGLETRANSLATE(B49, ""en"", ""vi"")"),"Chỉ")</f>
        <v>Chỉ</v>
      </c>
      <c r="L49" s="26" t="str">
        <f ca="1">IFERROR(__xludf.DUMMYFUNCTION("GOOGLETRANSLATE(B49, ""en"", ""hr"")"),"Pokazati")</f>
        <v>Pokazati</v>
      </c>
      <c r="M49" s="27"/>
      <c r="N49" s="28"/>
      <c r="O49" s="28"/>
      <c r="P49" s="28"/>
      <c r="Q49" s="28"/>
      <c r="R49" s="28"/>
      <c r="S49" s="28"/>
      <c r="T49" s="28"/>
      <c r="U49" s="28"/>
      <c r="V49" s="28"/>
      <c r="W49" s="28"/>
      <c r="X49" s="28"/>
      <c r="Y49" s="28"/>
      <c r="Z49" s="28"/>
      <c r="AA49" s="28"/>
      <c r="AB49" s="28"/>
    </row>
    <row r="50" spans="1:28" ht="42" x14ac:dyDescent="0.15">
      <c r="A50" s="21" t="s">
        <v>124</v>
      </c>
      <c r="B50" s="22" t="s">
        <v>125</v>
      </c>
      <c r="C50" s="23" t="str">
        <f ca="1">IFERROR(__xludf.DUMMYFUNCTION("GOOGLETRANSLATE(B50, ""en"", ""fr"")"),"En savoir plus sur le jeu sur le wiki")</f>
        <v>En savoir plus sur le jeu sur le wiki</v>
      </c>
      <c r="D50" s="23" t="str">
        <f ca="1">IFERROR(__xludf.DUMMYFUNCTION("GOOGLETRANSLATE(B50, ""en"", ""es"")"),"Aprende más sobre el juego en el wiki.")</f>
        <v>Aprende más sobre el juego en el wiki.</v>
      </c>
      <c r="E50" s="23" t="str">
        <f ca="1">IFERROR(__xludf.DUMMYFUNCTION("GOOGLETRANSLATE(B50, ""en"", ""ru"")"),"Узнайте больше о игре на вики")</f>
        <v>Узнайте больше о игре на вики</v>
      </c>
      <c r="F50" s="23" t="str">
        <f ca="1">IFERROR(__xludf.DUMMYFUNCTION("GOOGLETRANSLATE(B50, ""en"", ""tr"")"),"Wiki'deki oyun hakkında daha fazla bilgi edinin")</f>
        <v>Wiki'deki oyun hakkında daha fazla bilgi edinin</v>
      </c>
      <c r="G50" s="23" t="str">
        <f ca="1">IFERROR(__xludf.DUMMYFUNCTION("GOOGLETRANSLATE(B50, ""en"", ""pt"")"),"Saiba mais sobre o jogo no wiki")</f>
        <v>Saiba mais sobre o jogo no wiki</v>
      </c>
      <c r="H50" s="24" t="str">
        <f ca="1">IFERROR(__xludf.DUMMYFUNCTION("GOOGLETRANSLATE(B50, ""en"", ""de"")"),"Erfahren Sie mehr über das Spiel auf dem Wiki")</f>
        <v>Erfahren Sie mehr über das Spiel auf dem Wiki</v>
      </c>
      <c r="I50" s="23" t="str">
        <f ca="1">IFERROR(__xludf.DUMMYFUNCTION("GOOGLETRANSLATE(B50, ""en"", ""pl"")"),"Dowiedz się więcej o grze w Wiki")</f>
        <v>Dowiedz się więcej o grze w Wiki</v>
      </c>
      <c r="J50" s="25" t="str">
        <f ca="1">IFERROR(__xludf.DUMMYFUNCTION("GOOGLETRANSLATE(B50, ""en"", ""zh"")"),"了解有关Wiki上的游戏的更多信息")</f>
        <v>了解有关Wiki上的游戏的更多信息</v>
      </c>
      <c r="K50" s="25" t="str">
        <f ca="1">IFERROR(__xludf.DUMMYFUNCTION("GOOGLETRANSLATE(B50, ""en"", ""vi"")"),"Tìm hiểu thêm về trò chơi trên wiki")</f>
        <v>Tìm hiểu thêm về trò chơi trên wiki</v>
      </c>
      <c r="L50" s="26" t="str">
        <f ca="1">IFERROR(__xludf.DUMMYFUNCTION("GOOGLETRANSLATE(B50, ""en"", ""hr"")"),"Saznajte više o igri na wiki")</f>
        <v>Saznajte više o igri na wiki</v>
      </c>
      <c r="M50" s="27"/>
      <c r="N50" s="28"/>
      <c r="O50" s="28"/>
      <c r="P50" s="28"/>
      <c r="Q50" s="28"/>
      <c r="R50" s="28"/>
      <c r="S50" s="28"/>
      <c r="T50" s="28"/>
      <c r="U50" s="28"/>
      <c r="V50" s="28"/>
      <c r="W50" s="28"/>
      <c r="X50" s="28"/>
      <c r="Y50" s="28"/>
      <c r="Z50" s="28"/>
      <c r="AA50" s="28"/>
      <c r="AB50" s="28"/>
    </row>
    <row r="51" spans="1:28" ht="42" x14ac:dyDescent="0.15">
      <c r="A51" s="21" t="s">
        <v>126</v>
      </c>
      <c r="B51" s="22" t="s">
        <v>127</v>
      </c>
      <c r="C51" s="23" t="s">
        <v>128</v>
      </c>
      <c r="D51" s="23" t="str">
        <f ca="1">IFERROR(__xludf.DUMMYFUNCTION("GOOGLETRANSLATE(B51, ""en"", ""es"")"),"Chatea con otros jugadores en la discordia.")</f>
        <v>Chatea con otros jugadores en la discordia.</v>
      </c>
      <c r="E51" s="23" t="str">
        <f ca="1">IFERROR(__xludf.DUMMYFUNCTION("GOOGLETRANSLATE(B51, ""en"", ""ru"")"),"Чат с другими игроками на раздоре")</f>
        <v>Чат с другими игроками на раздоре</v>
      </c>
      <c r="F51" s="23" t="str">
        <f ca="1">IFERROR(__xludf.DUMMYFUNCTION("GOOGLETRANSLATE(B51, ""en"", ""tr"")"),"Discord'daki diğer oyuncularla sohbet et")</f>
        <v>Discord'daki diğer oyuncularla sohbet et</v>
      </c>
      <c r="G51" s="23" t="str">
        <f ca="1">IFERROR(__xludf.DUMMYFUNCTION("GOOGLETRANSLATE(B51, ""en"", ""pt"")"),"Bate-papo com outros jogadores na discórdia")</f>
        <v>Bate-papo com outros jogadores na discórdia</v>
      </c>
      <c r="H51" s="24" t="str">
        <f ca="1">IFERROR(__xludf.DUMMYFUNCTION("GOOGLETRANSLATE(B51, ""en"", ""de"")"),"Chatten Sie mit anderen Spielern auf der Zwietracht")</f>
        <v>Chatten Sie mit anderen Spielern auf der Zwietracht</v>
      </c>
      <c r="I51" s="23" t="str">
        <f ca="1">IFERROR(__xludf.DUMMYFUNCTION("GOOGLETRANSLATE(B51, ""en"", ""pl"")"),"Rozmawiaj z innymi graczami na niezgodę")</f>
        <v>Rozmawiaj z innymi graczami na niezgodę</v>
      </c>
      <c r="J51" s="25" t="str">
        <f ca="1">IFERROR(__xludf.DUMMYFUNCTION("GOOGLETRANSLATE(B51, ""en"", ""zh"")"),"与不和谐的其他玩家聊天")</f>
        <v>与不和谐的其他玩家聊天</v>
      </c>
      <c r="K51" s="25" t="str">
        <f ca="1">IFERROR(__xludf.DUMMYFUNCTION("GOOGLETRANSLATE(B51, ""en"", ""vi"")"),"Trò chuyện với những người chơi khác về sự bất hòa")</f>
        <v>Trò chuyện với những người chơi khác về sự bất hòa</v>
      </c>
      <c r="L51" s="26" t="str">
        <f ca="1">IFERROR(__xludf.DUMMYFUNCTION("GOOGLETRANSLATE(B51, ""en"", ""hr"")"),"Razgovarajte s drugim igračima na neslogu")</f>
        <v>Razgovarajte s drugim igračima na neslogu</v>
      </c>
      <c r="M51" s="27"/>
      <c r="N51" s="28"/>
      <c r="O51" s="28"/>
      <c r="P51" s="28"/>
      <c r="Q51" s="28"/>
      <c r="R51" s="28"/>
      <c r="S51" s="28"/>
      <c r="T51" s="28"/>
      <c r="U51" s="28"/>
      <c r="V51" s="28"/>
      <c r="W51" s="28"/>
      <c r="X51" s="28"/>
      <c r="Y51" s="28"/>
      <c r="Z51" s="28"/>
      <c r="AA51" s="28"/>
      <c r="AB51" s="28"/>
    </row>
    <row r="52" spans="1:28" ht="70" x14ac:dyDescent="0.15">
      <c r="A52" s="21" t="s">
        <v>129</v>
      </c>
      <c r="B52" s="22" t="s">
        <v>130</v>
      </c>
      <c r="C52" s="23" t="str">
        <f ca="1">IFERROR(__xludf.DUMMYFUNCTION("GOOGLETRANSLATE(B52, ""en"", ""fr"")"),"~ Commande invalide ~
Tapez / suivi de r, g, b, ou y
changer la couleur de chat.")</f>
        <v>~ Commande invalide ~
Tapez / suivi de r, g, b, ou y
changer la couleur de chat.</v>
      </c>
      <c r="D52" s="23" t="str">
        <f ca="1">IFERROR(__xludf.DUMMYFUNCTION("GOOGLETRANSLATE(B52, ""en"", ""es"")"),"~ Comando no válido ~
Tipo / Seguido de r, g, b o y
para cambiar el color de la charla.")</f>
        <v>~ Comando no válido ~
Tipo / Seguido de r, g, b o y
para cambiar el color de la charla.</v>
      </c>
      <c r="E52" s="23" t="str">
        <f ca="1">IFERROR(__xludf.DUMMYFUNCTION("GOOGLETRANSLATE(B52, ""en"", ""ru"")"),"~ Неверная команда ~
Тип / затем R, G, B, или Y
Чтобы изменить цвет чата.")</f>
        <v>~ Неверная команда ~
Тип / затем R, G, B, или Y
Чтобы изменить цвет чата.</v>
      </c>
      <c r="F52" s="23" t="str">
        <f ca="1">IFERROR(__xludf.DUMMYFUNCTION("GOOGLETRANSLATE(B52, ""en"", ""tr"")"),"~ Geçersiz komut ~
Tip / ardından r, g, b veya y
Sohbet rengini değiştirmek için.")</f>
        <v>~ Geçersiz komut ~
Tip / ardından r, g, b veya y
Sohbet rengini değiştirmek için.</v>
      </c>
      <c r="G52" s="23" t="str">
        <f ca="1">IFERROR(__xludf.DUMMYFUNCTION("GOOGLETRANSLATE(B52, ""en"", ""pt"")"),"~ Comando Inválido ~
Tipo / seguido por r, g, b ou y
para mudar a cor do bate-papo.")</f>
        <v>~ Comando Inválido ~
Tipo / seguido por r, g, b ou y
para mudar a cor do bate-papo.</v>
      </c>
      <c r="H52" s="24" t="str">
        <f ca="1">IFERROR(__xludf.DUMMYFUNCTION("GOOGLETRANSLATE(B52, ""en"", ""de"")"),"~ Ungültiger Befehl ~
Typ / gefolgt von r, g, b oder y
Um die Chatfarbe zu ändern.")</f>
        <v>~ Ungültiger Befehl ~
Typ / gefolgt von r, g, b oder y
Um die Chatfarbe zu ändern.</v>
      </c>
      <c r="I52" s="23" t="str">
        <f ca="1">IFERROR(__xludf.DUMMYFUNCTION("GOOGLETRANSLATE(B52, ""en"", ""pl"")"),"~ Nieprawidłowy polecenie ~
Wpisz / a następnie R, G, B lub Y
zmienić kolor czatu.")</f>
        <v>~ Nieprawidłowy polecenie ~
Wpisz / a następnie R, G, B lub Y
zmienić kolor czatu.</v>
      </c>
      <c r="J52" s="25" t="str">
        <f ca="1">IFERROR(__xludf.DUMMYFUNCTION("GOOGLETRANSLATE(B52, ""en"", ""zh"")"),"〜无效命令〜
类型/后跟R，G，B或Y
更改聊天颜色。")</f>
        <v>〜无效命令〜
类型/后跟R，G，B或Y
更改聊天颜色。</v>
      </c>
      <c r="K52" s="25" t="str">
        <f ca="1">IFERROR(__xludf.DUMMYFUNCTION("GOOGLETRANSLATE(B52, ""en"", ""vi"")"),"~ Lệnh không hợp lệ ~
Gõ / theo sau là r, g, b, hoặc y
để thay đổi màu trò chuyện.")</f>
        <v>~ Lệnh không hợp lệ ~
Gõ / theo sau là r, g, b, hoặc y
để thay đổi màu trò chuyện.</v>
      </c>
      <c r="L52" s="26" t="str">
        <f ca="1">IFERROR(__xludf.DUMMYFUNCTION("GOOGLETRANSLATE(B52, ""en"", ""hr"")"),"~ Nevažeća naredba ~
Upišite / slijedi R, G, B ili Y
promijeniti boju chat.")</f>
        <v>~ Nevažeća naredba ~
Upišite / slijedi R, G, B ili Y
promijeniti boju chat.</v>
      </c>
      <c r="M52" s="27"/>
      <c r="N52" s="28"/>
      <c r="O52" s="28"/>
      <c r="P52" s="28"/>
      <c r="Q52" s="28"/>
      <c r="R52" s="28"/>
      <c r="S52" s="28"/>
      <c r="T52" s="28"/>
      <c r="U52" s="28"/>
      <c r="V52" s="28"/>
      <c r="W52" s="28"/>
      <c r="X52" s="28"/>
      <c r="Y52" s="28"/>
      <c r="Z52" s="28"/>
      <c r="AA52" s="28"/>
      <c r="AB52" s="28"/>
    </row>
    <row r="53" spans="1:28" ht="182" x14ac:dyDescent="0.15">
      <c r="A53" s="21" t="s">
        <v>131</v>
      </c>
      <c r="B53" s="22" t="s">
        <v>132</v>
      </c>
      <c r="C53" s="23" t="str">
        <f ca="1">IFERROR(__xludf.DUMMYFUNCTION("GOOGLETRANSLATE(B53,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53" s="23" t="str">
        <f ca="1">IFERROR(__xludf.DUMMYFUNCTION("GOOGLETRANSLATE(B53,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53" s="23" t="str">
        <f ca="1">IFERROR(__xludf.DUMMYFUNCTION("GOOGLETRANSLATE(B53,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53" s="23" t="str">
        <f ca="1">IFERROR(__xludf.DUMMYFUNCTION("GOOGLETRANSLATE(B53,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53" s="23" t="str">
        <f ca="1">IFERROR(__xludf.DUMMYFUNCTION("GOOGLETRANSLATE(B53,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53" s="24" t="str">
        <f ca="1">IFERROR(__xludf.DUMMYFUNCTION("GOOGLETRANSLATE(B53,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53" s="23" t="str">
        <f ca="1">IFERROR(__xludf.DUMMYFUNCTION("GOOGLETRANSLATE(B53,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53" s="25" t="str">
        <f ca="1">IFERROR(__xludf.DUMMYFUNCTION("GOOGLETRANSLATE(B53,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53" s="25" t="str">
        <f ca="1">IFERROR(__xludf.DUMMYFUNCTION("GOOGLETRANSLATE(B53,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53" s="26" t="str">
        <f ca="1">IFERROR(__xludf.DUMMYFUNCTION("GOOGLETRANSLATE(B53,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53" s="28"/>
      <c r="N53" s="28"/>
      <c r="O53" s="28"/>
      <c r="P53" s="28"/>
      <c r="Q53" s="28"/>
      <c r="R53" s="28"/>
      <c r="S53" s="28"/>
      <c r="T53" s="28"/>
      <c r="U53" s="28"/>
      <c r="V53" s="28"/>
      <c r="W53" s="28"/>
      <c r="X53" s="28"/>
      <c r="Y53" s="28"/>
      <c r="Z53" s="28"/>
      <c r="AA53" s="28"/>
      <c r="AB53" s="28"/>
    </row>
    <row r="54" spans="1:28" ht="154" x14ac:dyDescent="0.15">
      <c r="A54" s="21" t="s">
        <v>133</v>
      </c>
      <c r="B54" s="22" t="s">
        <v>134</v>
      </c>
      <c r="C54" s="23" t="str">
        <f ca="1">IFERROR(__xludf.DUMMYFUNCTION("GOOGLETRANSLATE(B54,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54" s="23" t="str">
        <f ca="1">IFERROR(__xludf.DUMMYFUNCTION("GOOGLETRANSLATE(B54,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54" s="23" t="str">
        <f ca="1">IFERROR(__xludf.DUMMYFUNCTION("GOOGLETRANSLATE(B54,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54" s="23" t="str">
        <f ca="1">IFERROR(__xludf.DUMMYFUNCTION("GOOGLETRANSLATE(B54,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54" s="23" t="str">
        <f ca="1">IFERROR(__xludf.DUMMYFUNCTION("GOOGLETRANSLATE(B54,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54" s="24" t="str">
        <f ca="1">IFERROR(__xludf.DUMMYFUNCTION("GOOGLETRANSLATE(B54,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54" s="23" t="str">
        <f ca="1">IFERROR(__xludf.DUMMYFUNCTION("GOOGLETRANSLATE(B54, ""en"", ""pl"")"),"Obrona: zmniejsza ilość obrażeń. Zwiększ punkty obrony, używając niektórych przedmiotów odzieżowych, mikstur i zaklęć.")</f>
        <v>Obrona: zmniejsza ilość obrażeń. Zwiększ punkty obrony, używając niektórych przedmiotów odzieżowych, mikstur i zaklęć.</v>
      </c>
      <c r="J54" s="25" t="str">
        <f ca="1">IFERROR(__xludf.DUMMYFUNCTION("GOOGLETRANSLATE(B54, ""en"", ""zh"")"),"防御：减少您采取的损害量。通过使用某些衣物，魔药和魅力增加您的防御点。")</f>
        <v>防御：减少您采取的损害量。通过使用某些衣物，魔药和魅力增加您的防御点。</v>
      </c>
      <c r="K54" s="25" t="str">
        <f ca="1">IFERROR(__xludf.DUMMYFUNCTION("GOOGLETRANSLATE(B54,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54" s="26" t="str">
        <f ca="1">IFERROR(__xludf.DUMMYFUNCTION("GOOGLETRANSLATE(B54,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54" s="28"/>
      <c r="N54" s="28"/>
      <c r="O54" s="28"/>
      <c r="P54" s="28"/>
      <c r="Q54" s="28"/>
      <c r="R54" s="28"/>
      <c r="S54" s="28"/>
      <c r="T54" s="28"/>
      <c r="U54" s="28"/>
      <c r="V54" s="28"/>
      <c r="W54" s="28"/>
      <c r="X54" s="28"/>
      <c r="Y54" s="28"/>
      <c r="Z54" s="28"/>
      <c r="AA54" s="28"/>
      <c r="AB54" s="28"/>
    </row>
    <row r="55" spans="1:28" ht="14" x14ac:dyDescent="0.15">
      <c r="A55" s="21" t="s">
        <v>135</v>
      </c>
      <c r="B55" s="22" t="s">
        <v>136</v>
      </c>
      <c r="C55" s="23" t="str">
        <f ca="1">IFERROR(__xludf.DUMMYFUNCTION("GOOGLETRANSLATE(B55, ""en"", ""fr"")"),"Statistiques")</f>
        <v>Statistiques</v>
      </c>
      <c r="D55" s="23" t="str">
        <f ca="1">IFERROR(__xludf.DUMMYFUNCTION("GOOGLETRANSLATE(B55, ""en"", ""es"")"),"Estadísticas")</f>
        <v>Estadísticas</v>
      </c>
      <c r="E55" s="23" t="str">
        <f ca="1">IFERROR(__xludf.DUMMYFUNCTION("GOOGLETRANSLATE(B55, ""en"", ""ru"")"),"Статистика")</f>
        <v>Статистика</v>
      </c>
      <c r="F55" s="23" t="str">
        <f ca="1">IFERROR(__xludf.DUMMYFUNCTION("GOOGLETRANSLATE(B55, ""en"", ""tr"")"),"İstatistikler")</f>
        <v>İstatistikler</v>
      </c>
      <c r="G55" s="23" t="str">
        <f ca="1">IFERROR(__xludf.DUMMYFUNCTION("GOOGLETRANSLATE(B55, ""en"", ""pt"")"),"Estatísticas")</f>
        <v>Estatísticas</v>
      </c>
      <c r="H55" s="24" t="str">
        <f ca="1">IFERROR(__xludf.DUMMYFUNCTION("GOOGLETRANSLATE(B55, ""en"", ""de"")"),"Statistiken")</f>
        <v>Statistiken</v>
      </c>
      <c r="I55" s="23" t="str">
        <f ca="1">IFERROR(__xludf.DUMMYFUNCTION("GOOGLETRANSLATE(B55, ""en"", ""pl"")"),"Statystyki")</f>
        <v>Statystyki</v>
      </c>
      <c r="J55" s="25" t="str">
        <f ca="1">IFERROR(__xludf.DUMMYFUNCTION("GOOGLETRANSLATE(B55, ""en"", ""zh"")"),"统计")</f>
        <v>统计</v>
      </c>
      <c r="K55" s="25" t="str">
        <f ca="1">IFERROR(__xludf.DUMMYFUNCTION("GOOGLETRANSLATE(B55, ""en"", ""vi"")"),"Số liệu thống kê")</f>
        <v>Số liệu thống kê</v>
      </c>
      <c r="L55" s="26" t="str">
        <f ca="1">IFERROR(__xludf.DUMMYFUNCTION("GOOGLETRANSLATE(B55, ""en"", ""hr"")"),"Statistika")</f>
        <v>Statistika</v>
      </c>
      <c r="M55" s="28"/>
      <c r="N55" s="28"/>
      <c r="O55" s="28"/>
      <c r="P55" s="28"/>
      <c r="Q55" s="28"/>
      <c r="R55" s="28"/>
      <c r="S55" s="28"/>
      <c r="T55" s="28"/>
      <c r="U55" s="28"/>
      <c r="V55" s="28"/>
      <c r="W55" s="28"/>
      <c r="X55" s="28"/>
      <c r="Y55" s="28"/>
      <c r="Z55" s="28"/>
      <c r="AA55" s="28"/>
      <c r="AB55" s="28"/>
    </row>
    <row r="56" spans="1:28" ht="14" x14ac:dyDescent="0.15">
      <c r="A56" s="21" t="s">
        <v>137</v>
      </c>
      <c r="B56" s="22" t="s">
        <v>138</v>
      </c>
      <c r="C56" s="23" t="str">
        <f ca="1">IFERROR(__xludf.DUMMYFUNCTION("GOOGLETRANSLATE(B56, ""en"", ""fr"")"),"Tâches")</f>
        <v>Tâches</v>
      </c>
      <c r="D56" s="23" t="str">
        <f ca="1">IFERROR(__xludf.DUMMYFUNCTION("GOOGLETRANSLATE(B56, ""en"", ""es"")"),"Tareas")</f>
        <v>Tareas</v>
      </c>
      <c r="E56" s="23" t="str">
        <f ca="1">IFERROR(__xludf.DUMMYFUNCTION("GOOGLETRANSLATE(B56, ""en"", ""ru"")"),"Задания")</f>
        <v>Задания</v>
      </c>
      <c r="F56" s="23" t="str">
        <f ca="1">IFERROR(__xludf.DUMMYFUNCTION("GOOGLETRANSLATE(B56, ""en"", ""tr"")"),"Görevler")</f>
        <v>Görevler</v>
      </c>
      <c r="G56" s="23" t="str">
        <f ca="1">IFERROR(__xludf.DUMMYFUNCTION("GOOGLETRANSLATE(B56, ""en"", ""pt"")"),"Tarefas")</f>
        <v>Tarefas</v>
      </c>
      <c r="H56" s="24" t="str">
        <f ca="1">IFERROR(__xludf.DUMMYFUNCTION("GOOGLETRANSLATE(B56, ""en"", ""de"")"),"Aufgaben")</f>
        <v>Aufgaben</v>
      </c>
      <c r="I56" s="23" t="str">
        <f ca="1">IFERROR(__xludf.DUMMYFUNCTION("GOOGLETRANSLATE(B56, ""en"", ""pl"")"),"Zadania")</f>
        <v>Zadania</v>
      </c>
      <c r="J56" s="25" t="str">
        <f ca="1">IFERROR(__xludf.DUMMYFUNCTION("GOOGLETRANSLATE(B56, ""en"", ""zh"")"),"任务")</f>
        <v>任务</v>
      </c>
      <c r="K56" s="25" t="str">
        <f ca="1">IFERROR(__xludf.DUMMYFUNCTION("GOOGLETRANSLATE(B56, ""en"", ""vi"")"),"Nhiệm vụ")</f>
        <v>Nhiệm vụ</v>
      </c>
      <c r="L56" s="26" t="str">
        <f ca="1">IFERROR(__xludf.DUMMYFUNCTION("GOOGLETRANSLATE(B56, ""en"", ""hr"")"),"Zadatke")</f>
        <v>Zadatke</v>
      </c>
      <c r="M56" s="28"/>
      <c r="N56" s="28"/>
      <c r="O56" s="28"/>
      <c r="P56" s="28"/>
      <c r="Q56" s="28"/>
      <c r="R56" s="28"/>
      <c r="S56" s="28"/>
      <c r="T56" s="28"/>
      <c r="U56" s="28"/>
      <c r="V56" s="28"/>
      <c r="W56" s="28"/>
      <c r="X56" s="28"/>
      <c r="Y56" s="28"/>
      <c r="Z56" s="28"/>
      <c r="AA56" s="28"/>
      <c r="AB56" s="28"/>
    </row>
    <row r="57" spans="1:28" ht="14" x14ac:dyDescent="0.15">
      <c r="A57" s="21" t="s">
        <v>139</v>
      </c>
      <c r="B57" s="22" t="s">
        <v>140</v>
      </c>
      <c r="C57" s="23" t="str">
        <f ca="1">IFERROR(__xludf.DUMMYFUNCTION("GOOGLETRANSLATE(B57, ""en"", ""fr"")"),"Carte du monde")</f>
        <v>Carte du monde</v>
      </c>
      <c r="D57" s="23" t="str">
        <f ca="1">IFERROR(__xludf.DUMMYFUNCTION("GOOGLETRANSLATE(B57, ""en"", ""es"")"),"Mapa del mundo")</f>
        <v>Mapa del mundo</v>
      </c>
      <c r="E57" s="23" t="str">
        <f ca="1">IFERROR(__xludf.DUMMYFUNCTION("GOOGLETRANSLATE(B57, ""en"", ""ru"")"),"Карта мира")</f>
        <v>Карта мира</v>
      </c>
      <c r="F57" s="23" t="str">
        <f ca="1">IFERROR(__xludf.DUMMYFUNCTION("GOOGLETRANSLATE(B57, ""en"", ""tr"")"),"Dünya haritası")</f>
        <v>Dünya haritası</v>
      </c>
      <c r="G57" s="23" t="str">
        <f ca="1">IFERROR(__xludf.DUMMYFUNCTION("GOOGLETRANSLATE(B57, ""en"", ""pt"")"),"Mapa mundial")</f>
        <v>Mapa mundial</v>
      </c>
      <c r="H57" s="24" t="str">
        <f ca="1">IFERROR(__xludf.DUMMYFUNCTION("GOOGLETRANSLATE(B57, ""en"", ""de"")"),"Weltkarte")</f>
        <v>Weltkarte</v>
      </c>
      <c r="I57" s="23" t="str">
        <f ca="1">IFERROR(__xludf.DUMMYFUNCTION("GOOGLETRANSLATE(B57, ""en"", ""pl"")"),"Mapa świata")</f>
        <v>Mapa świata</v>
      </c>
      <c r="J57" s="25" t="str">
        <f ca="1">IFERROR(__xludf.DUMMYFUNCTION("GOOGLETRANSLATE(B57, ""en"", ""zh"")"),"世界地图")</f>
        <v>世界地图</v>
      </c>
      <c r="K57" s="25" t="str">
        <f ca="1">IFERROR(__xludf.DUMMYFUNCTION("GOOGLETRANSLATE(B57, ""en"", ""vi"")"),"Bản đồ thế giới")</f>
        <v>Bản đồ thế giới</v>
      </c>
      <c r="L57" s="26" t="str">
        <f ca="1">IFERROR(__xludf.DUMMYFUNCTION("GOOGLETRANSLATE(B57, ""en"", ""hr"")"),"Karta svijeta")</f>
        <v>Karta svijeta</v>
      </c>
      <c r="M57" s="28"/>
      <c r="N57" s="28"/>
      <c r="O57" s="28"/>
      <c r="P57" s="28"/>
      <c r="Q57" s="28"/>
      <c r="R57" s="28"/>
      <c r="S57" s="28"/>
      <c r="T57" s="28"/>
      <c r="U57" s="28"/>
      <c r="V57" s="28"/>
      <c r="W57" s="28"/>
      <c r="X57" s="28"/>
      <c r="Y57" s="28"/>
      <c r="Z57" s="28"/>
      <c r="AA57" s="28"/>
      <c r="AB57" s="28"/>
    </row>
    <row r="58" spans="1:28" ht="98" x14ac:dyDescent="0.15">
      <c r="A58" s="21" t="s">
        <v>141</v>
      </c>
      <c r="B58" s="22" t="s">
        <v>142</v>
      </c>
      <c r="C58" s="23" t="s">
        <v>143</v>
      </c>
      <c r="D58" s="23" t="str">
        <f ca="1">IFERROR(__xludf.DUMMYFUNCTION("GOOGLETRANSLATE(B58, ""en"", ""es"")"),"Modo de chat: presione para configurar si el cuadro de chat debe permanecer abierto después de enviar un mensaje.")</f>
        <v>Modo de chat: presione para configurar si el cuadro de chat debe permanecer abierto después de enviar un mensaje.</v>
      </c>
      <c r="E58" s="23" t="str">
        <f ca="1">IFERROR(__xludf.DUMMYFUNCTION("GOOGLETRANSLATE(B58,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8" s="23" t="str">
        <f ca="1">IFERROR(__xludf.DUMMYFUNCTION("GOOGLETRANSLATE(B58, ""en"", ""tr"")"),"Sohbet modu: Bir mesaj gönderdikten sonra sohbet kutusunun açık olup olmadığını ayarlamak için basın.")</f>
        <v>Sohbet modu: Bir mesaj gönderdikten sonra sohbet kutusunun açık olup olmadığını ayarlamak için basın.</v>
      </c>
      <c r="G58" s="23" t="str">
        <f ca="1">IFERROR(__xludf.DUMMYFUNCTION("GOOGLETRANSLATE(B58, ""en"", ""pt"")"),"Modo de bate-papo: Pressione para definir se a caixa de bate-papo deve ficar aberta depois de enviar uma mensagem.")</f>
        <v>Modo de bate-papo: Pressione para definir se a caixa de bate-papo deve ficar aberta depois de enviar uma mensagem.</v>
      </c>
      <c r="H58" s="24" t="str">
        <f ca="1">IFERROR(__xludf.DUMMYFUNCTION("GOOGLETRANSLATE(B58, ""en"", ""de"")"),"Chat-Modus: Drücken Sie, um festzulegen, ob das Chat-Feld nach dem Senden einer Nachricht geöffnet bleibt.")</f>
        <v>Chat-Modus: Drücken Sie, um festzulegen, ob das Chat-Feld nach dem Senden einer Nachricht geöffnet bleibt.</v>
      </c>
      <c r="I58" s="23" t="str">
        <f ca="1">IFERROR(__xludf.DUMMYFUNCTION("GOOGLETRANSLATE(B58, ""en"", ""pl"")"),"Tryb czatu: Naciśnij, aby ustawić, czy pole czatu powinno pozostać otwarte po wysłaniu wiadomości.")</f>
        <v>Tryb czatu: Naciśnij, aby ustawić, czy pole czatu powinno pozostać otwarte po wysłaniu wiadomości.</v>
      </c>
      <c r="J58" s="25" t="str">
        <f ca="1">IFERROR(__xludf.DUMMYFUNCTION("GOOGLETRANSLATE(B58, ""en"", ""zh"")"),"聊天模式：按可在发送消息后设置聊天框是否应保持打开状态。")</f>
        <v>聊天模式：按可在发送消息后设置聊天框是否应保持打开状态。</v>
      </c>
      <c r="K58" s="25" t="str">
        <f ca="1">IFERROR(__xludf.DUMMYFUNCTION("GOOGLETRANSLATE(B58, ""en"", ""vi"")"),"Chế độ trò chuyện: Nhấn để đặt xem hộp trò chuyện có được mở sau khi gửi tin nhắn hay không.")</f>
        <v>Chế độ trò chuyện: Nhấn để đặt xem hộp trò chuyện có được mở sau khi gửi tin nhắn hay không.</v>
      </c>
      <c r="L58" s="26" t="str">
        <f ca="1">IFERROR(__xludf.DUMMYFUNCTION("GOOGLETRANSLATE(B58, ""en"", ""hr"")"),"Način chat: Pritisnite za podešavanje hoće li se razgovor ostati otvoren nakon slanja poruke.")</f>
        <v>Način chat: Pritisnite za podešavanje hoće li se razgovor ostati otvoren nakon slanja poruke.</v>
      </c>
      <c r="M58" s="28"/>
      <c r="N58" s="28"/>
      <c r="O58" s="28"/>
      <c r="P58" s="28"/>
      <c r="Q58" s="28"/>
      <c r="R58" s="28"/>
      <c r="S58" s="28"/>
      <c r="T58" s="28"/>
      <c r="U58" s="28"/>
      <c r="V58" s="28"/>
      <c r="W58" s="28"/>
      <c r="X58" s="28"/>
      <c r="Y58" s="28"/>
      <c r="Z58" s="28"/>
      <c r="AA58" s="28"/>
      <c r="AB58" s="28"/>
    </row>
    <row r="59" spans="1:28" ht="14" x14ac:dyDescent="0.15">
      <c r="A59" s="21" t="s">
        <v>144</v>
      </c>
      <c r="B59" s="22" t="s">
        <v>145</v>
      </c>
      <c r="C59" s="23" t="str">
        <f ca="1">IFERROR(__xludf.DUMMYFUNCTION("GOOGLETRANSLATE(B59, ""en"", ""fr"")"),"Clan")</f>
        <v>Clan</v>
      </c>
      <c r="D59" s="23" t="str">
        <f ca="1">IFERROR(__xludf.DUMMYFUNCTION("GOOGLETRANSLATE(B59, ""en"", ""es"")"),"Clan")</f>
        <v>Clan</v>
      </c>
      <c r="E59" s="23" t="str">
        <f ca="1">IFERROR(__xludf.DUMMYFUNCTION("GOOGLETRANSLATE(B59, ""en"", ""ru"")"),"Клан")</f>
        <v>Клан</v>
      </c>
      <c r="F59" s="23" t="str">
        <f ca="1">IFERROR(__xludf.DUMMYFUNCTION("GOOGLETRANSLATE(B59, ""en"", ""tr"")"),"Klan")</f>
        <v>Klan</v>
      </c>
      <c r="G59" s="23" t="str">
        <f ca="1">IFERROR(__xludf.DUMMYFUNCTION("GOOGLETRANSLATE(B59, ""en"", ""pt"")"),"Clã")</f>
        <v>Clã</v>
      </c>
      <c r="H59" s="24" t="str">
        <f ca="1">IFERROR(__xludf.DUMMYFUNCTION("GOOGLETRANSLATE(B59, ""en"", ""de"")"),"Clan")</f>
        <v>Clan</v>
      </c>
      <c r="I59" s="23" t="str">
        <f ca="1">IFERROR(__xludf.DUMMYFUNCTION("GOOGLETRANSLATE(B59, ""en"", ""pl"")"),"Klan")</f>
        <v>Klan</v>
      </c>
      <c r="J59" s="25" t="str">
        <f ca="1">IFERROR(__xludf.DUMMYFUNCTION("GOOGLETRANSLATE(B59, ""en"", ""zh"")"),"氏族")</f>
        <v>氏族</v>
      </c>
      <c r="K59" s="25" t="str">
        <f ca="1">IFERROR(__xludf.DUMMYFUNCTION("GOOGLETRANSLATE(B59, ""en"", ""vi"")"),"Gia tộc")</f>
        <v>Gia tộc</v>
      </c>
      <c r="L59" s="26" t="str">
        <f ca="1">IFERROR(__xludf.DUMMYFUNCTION("GOOGLETRANSLATE(B59, ""en"", ""hr"")"),"Klan")</f>
        <v>Klan</v>
      </c>
      <c r="M59" s="28"/>
      <c r="N59" s="28"/>
      <c r="O59" s="28"/>
      <c r="P59" s="28"/>
      <c r="Q59" s="28"/>
      <c r="R59" s="28"/>
      <c r="S59" s="28"/>
      <c r="T59" s="28"/>
      <c r="U59" s="28"/>
      <c r="V59" s="28"/>
      <c r="W59" s="28"/>
      <c r="X59" s="28"/>
      <c r="Y59" s="28"/>
      <c r="Z59" s="28"/>
      <c r="AA59" s="28"/>
      <c r="AB59" s="28"/>
    </row>
    <row r="60" spans="1:28" ht="126" x14ac:dyDescent="0.15">
      <c r="A60" s="21" t="s">
        <v>146</v>
      </c>
      <c r="B60" s="22" t="s">
        <v>147</v>
      </c>
      <c r="C60" s="23" t="str">
        <f ca="1">IFERROR(__xludf.DUMMYFUNCTION("GOOGLETRANSLATE(B60,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60" s="23" t="str">
        <f ca="1">IFERROR(__xludf.DUMMYFUNCTION("GOOGLETRANSLATE(B60, ""en"", ""es"")"),"Hitpoints: cuánto daño puedes tomar antes de morir. Recupere los puntos de golpe más rápido usando ciertos pociones y hechizos.")</f>
        <v>Hitpoints: cuánto daño puedes tomar antes de morir. Recupere los puntos de golpe más rápido usando ciertos pociones y hechizos.</v>
      </c>
      <c r="E60" s="23" t="str">
        <f ca="1">IFERROR(__xludf.DUMMYFUNCTION("GOOGLETRANSLATE(B60,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60" s="23" t="str">
        <f ca="1">IFERROR(__xludf.DUMMYFUNCTION("GOOGLETRANSLATE(B60, ""en"", ""tr"")"),"Hitpoints: Ölmeden önce ne kadar zarar alabilirsiniz. Bazı iksirleri ve büyüleri kullanarak hitportları daha hızlı kurtarın.")</f>
        <v>Hitpoints: Ölmeden önce ne kadar zarar alabilirsiniz. Bazı iksirleri ve büyüleri kullanarak hitportları daha hızlı kurtarın.</v>
      </c>
      <c r="G60" s="23" t="str">
        <f ca="1">IFERROR(__xludf.DUMMYFUNCTION("GOOGLETRANSLATE(B60, ""en"", ""pt"")"),"HITPOINTS: Quanto dano você pode levar antes de morrer. Recupere Hitpoints mais rápido usando certas poções e feitiços.")</f>
        <v>HITPOINTS: Quanto dano você pode levar antes de morrer. Recupere Hitpoints mais rápido usando certas poções e feitiços.</v>
      </c>
      <c r="H60" s="24" t="str">
        <f ca="1">IFERROR(__xludf.DUMMYFUNCTION("GOOGLETRANSLATE(B60,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60" s="23" t="str">
        <f ca="1">IFERROR(__xludf.DUMMYFUNCTION("GOOGLETRANSLATE(B60, ""en"", ""pl"")"),"Hitpoints: Ile szkód możesz wziąć przed śmiercią. Odzyskaj punkty Hit szybciej, używając określonych mikstur i zaklęć.")</f>
        <v>Hitpoints: Ile szkód możesz wziąć przed śmiercią. Odzyskaj punkty Hit szybciej, używając określonych mikstur i zaklęć.</v>
      </c>
      <c r="J60" s="25" t="str">
        <f ca="1">IFERROR(__xludf.DUMMYFUNCTION("GOOGLETRANSLATE(B60, ""en"", ""zh"")"),"杀点：在你死之前可以伤害多少伤害。通过使用某些药物和法术恢复Hitpoints。")</f>
        <v>杀点：在你死之前可以伤害多少伤害。通过使用某些药物和法术恢复Hitpoints。</v>
      </c>
      <c r="K60" s="25" t="str">
        <f ca="1">IFERROR(__xludf.DUMMYFUNCTION("GOOGLETRANSLATE(B60,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60" s="26" t="str">
        <f ca="1">IFERROR(__xludf.DUMMYFUNCTION("GOOGLETRANSLATE(B60, ""en"", ""hr"")"),"Hitpoints: koliko štete možete uzeti prije nego umrete. Obnovite hitpoints brže pomoću određenih napitaka i čarolija.")</f>
        <v>Hitpoints: koliko štete možete uzeti prije nego umrete. Obnovite hitpoints brže pomoću određenih napitaka i čarolija.</v>
      </c>
      <c r="M60" s="28"/>
      <c r="N60" s="28"/>
      <c r="O60" s="28"/>
      <c r="P60" s="28"/>
      <c r="Q60" s="28"/>
      <c r="R60" s="28"/>
      <c r="S60" s="28"/>
      <c r="T60" s="28"/>
      <c r="U60" s="28"/>
      <c r="V60" s="28"/>
      <c r="W60" s="28"/>
      <c r="X60" s="28"/>
      <c r="Y60" s="28"/>
      <c r="Z60" s="28"/>
      <c r="AA60" s="28"/>
      <c r="AB60" s="28"/>
    </row>
    <row r="61" spans="1:28" ht="126" x14ac:dyDescent="0.15">
      <c r="A61" s="21" t="s">
        <v>148</v>
      </c>
      <c r="B61" s="22" t="s">
        <v>149</v>
      </c>
      <c r="C61" s="23" t="str">
        <f ca="1">IFERROR(__xludf.DUMMYFUNCTION("GOOGLETRANSLATE(B61,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61" s="23" t="str">
        <f ca="1">IFERROR(__xludf.DUMMYFUNCTION("GOOGLETRANSLATE(B61,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61" s="23" t="str">
        <f ca="1">IFERROR(__xludf.DUMMYFUNCTION("GOOGLETRANSLATE(B61,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61" s="23" t="str">
        <f ca="1">IFERROR(__xludf.DUMMYFUNCTION("GOOGLETRANSLATE(B61, ""en"", ""tr"")"),"Enerji: Çoğu eylemi yapmak için kullanılır. Yavaşça yenilenir. Enerji iksirleri içtikten daha hızlı enerjiyi kurtarın.")</f>
        <v>Enerji: Çoğu eylemi yapmak için kullanılır. Yavaşça yenilenir. Enerji iksirleri içtikten daha hızlı enerjiyi kurtarın.</v>
      </c>
      <c r="G61" s="23" t="str">
        <f ca="1">IFERROR(__xludf.DUMMYFUNCTION("GOOGLETRANSLATE(B61, ""en"", ""pt"")"),"Energia: usada para fazer a maioria das ações. Regenera lentamente. Recuperar energia mais rápido bebendo poções de energia.")</f>
        <v>Energia: usada para fazer a maioria das ações. Regenera lentamente. Recuperar energia mais rápido bebendo poções de energia.</v>
      </c>
      <c r="H61" s="24" t="str">
        <f ca="1">IFERROR(__xludf.DUMMYFUNCTION("GOOGLETRANSLATE(B61,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61" s="23" t="str">
        <f ca="1">IFERROR(__xludf.DUMMYFUNCTION("GOOGLETRANSLATE(B61,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61" s="25" t="str">
        <f ca="1">IFERROR(__xludf.DUMMYFUNCTION("GOOGLETRANSLATE(B61, ""en"", ""zh"")"),"能量：曾经做过大多数行动。慢慢再生。通过饮用能量药水更快地恢复能量。")</f>
        <v>能量：曾经做过大多数行动。慢慢再生。通过饮用能量药水更快地恢复能量。</v>
      </c>
      <c r="K61" s="25" t="str">
        <f ca="1">IFERROR(__xludf.DUMMYFUNCTION("GOOGLETRANSLATE(B61,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61" s="26" t="str">
        <f ca="1">IFERROR(__xludf.DUMMYFUNCTION("GOOGLETRANSLATE(B61, ""en"", ""hr"")"),"Energija: koristi se za većinu radnji. Polako regenerira. Oporaviti energiju brže pitkom energetske napitaka.")</f>
        <v>Energija: koristi se za većinu radnji. Polako regenerira. Oporaviti energiju brže pitkom energetske napitaka.</v>
      </c>
      <c r="M61" s="28"/>
      <c r="N61" s="28"/>
      <c r="O61" s="28"/>
      <c r="P61" s="28"/>
      <c r="Q61" s="28"/>
      <c r="R61" s="28"/>
      <c r="S61" s="28"/>
      <c r="T61" s="28"/>
      <c r="U61" s="28"/>
      <c r="V61" s="28"/>
      <c r="W61" s="28"/>
      <c r="X61" s="28"/>
      <c r="Y61" s="28"/>
      <c r="Z61" s="28"/>
      <c r="AA61" s="28"/>
      <c r="AB61" s="28"/>
    </row>
    <row r="62" spans="1:28" ht="14" x14ac:dyDescent="0.15">
      <c r="A62" s="21" t="s">
        <v>150</v>
      </c>
      <c r="B62" s="22" t="s">
        <v>151</v>
      </c>
      <c r="C62" s="23" t="str">
        <f ca="1">IFERROR(__xludf.DUMMYFUNCTION("GOOGLETRANSLATE(B62, ""en"", ""fr"")"),"Inventaire")</f>
        <v>Inventaire</v>
      </c>
      <c r="D62" s="23" t="str">
        <f ca="1">IFERROR(__xludf.DUMMYFUNCTION("GOOGLETRANSLATE(B62, ""en"", ""es"")"),"Inventario")</f>
        <v>Inventario</v>
      </c>
      <c r="E62" s="23" t="str">
        <f ca="1">IFERROR(__xludf.DUMMYFUNCTION("GOOGLETRANSLATE(B62, ""en"", ""ru"")"),"Инвентарь")</f>
        <v>Инвентарь</v>
      </c>
      <c r="F62" s="23" t="str">
        <f ca="1">IFERROR(__xludf.DUMMYFUNCTION("GOOGLETRANSLATE(B62, ""en"", ""tr"")"),"Envanter")</f>
        <v>Envanter</v>
      </c>
      <c r="G62" s="23" t="str">
        <f ca="1">IFERROR(__xludf.DUMMYFUNCTION("GOOGLETRANSLATE(B62, ""en"", ""pt"")"),"Inventário")</f>
        <v>Inventário</v>
      </c>
      <c r="H62" s="24" t="str">
        <f ca="1">IFERROR(__xludf.DUMMYFUNCTION("GOOGLETRANSLATE(B62, ""en"", ""de"")"),"Inventar")</f>
        <v>Inventar</v>
      </c>
      <c r="I62" s="23" t="str">
        <f ca="1">IFERROR(__xludf.DUMMYFUNCTION("GOOGLETRANSLATE(B62, ""en"", ""pl"")"),"Spis")</f>
        <v>Spis</v>
      </c>
      <c r="J62" s="25" t="str">
        <f ca="1">IFERROR(__xludf.DUMMYFUNCTION("GOOGLETRANSLATE(B62, ""en"", ""zh"")"),"存货")</f>
        <v>存货</v>
      </c>
      <c r="K62" s="25" t="str">
        <f ca="1">IFERROR(__xludf.DUMMYFUNCTION("GOOGLETRANSLATE(B62, ""en"", ""vi"")"),"Kiểm kê")</f>
        <v>Kiểm kê</v>
      </c>
      <c r="L62" s="26" t="str">
        <f ca="1">IFERROR(__xludf.DUMMYFUNCTION("GOOGLETRANSLATE(B62, ""en"", ""hr"")"),"Inventar")</f>
        <v>Inventar</v>
      </c>
      <c r="M62" s="28"/>
      <c r="N62" s="28"/>
      <c r="O62" s="28"/>
      <c r="P62" s="28"/>
      <c r="Q62" s="28"/>
      <c r="R62" s="28"/>
      <c r="S62" s="28"/>
      <c r="T62" s="28"/>
      <c r="U62" s="28"/>
      <c r="V62" s="28"/>
      <c r="W62" s="28"/>
      <c r="X62" s="28"/>
      <c r="Y62" s="28"/>
      <c r="Z62" s="28"/>
      <c r="AA62" s="28"/>
      <c r="AB62" s="28"/>
    </row>
    <row r="63" spans="1:28" ht="70" x14ac:dyDescent="0.15">
      <c r="A63" s="21" t="s">
        <v>152</v>
      </c>
      <c r="B63" s="22" t="s">
        <v>153</v>
      </c>
      <c r="C63" s="23" t="str">
        <f ca="1">IFERROR(__xludf.DUMMYFUNCTION("GOOGLETRANSLATE(B63, ""en"", ""fr"")"),"Combat: Vous perdrez vos articles si vous fermez le jeu en combat.")</f>
        <v>Combat: Vous perdrez vos articles si vous fermez le jeu en combat.</v>
      </c>
      <c r="D63" s="23" t="str">
        <f ca="1">IFERROR(__xludf.DUMMYFUNCTION("GOOGLETRANSLATE(B63, ""en"", ""es"")"),"Combat: perderás tus artículos si cierras el juego mientras estás en combate.")</f>
        <v>Combat: perderás tus artículos si cierras el juego mientras estás en combate.</v>
      </c>
      <c r="E63" s="23" t="str">
        <f ca="1">IFERROR(__xludf.DUMMYFUNCTION("GOOGLETRANSLATE(B63, ""en"", ""ru"")"),"Бой: Вы потеряете свои товары, если вы закрываете игру во время боя.")</f>
        <v>Бой: Вы потеряете свои товары, если вы закрываете игру во время боя.</v>
      </c>
      <c r="F63" s="23" t="str">
        <f ca="1">IFERROR(__xludf.DUMMYFUNCTION("GOOGLETRANSLATE(B63, ""en"", ""tr"")"),"Savaş: Eğer mücadeledeyken oyunu kapatırsanız eşyalarınızı kaybedersiniz.")</f>
        <v>Savaş: Eğer mücadeledeyken oyunu kapatırsanız eşyalarınızı kaybedersiniz.</v>
      </c>
      <c r="G63" s="23" t="str">
        <f ca="1">IFERROR(__xludf.DUMMYFUNCTION("GOOGLETRANSLATE(B63, ""en"", ""pt"")"),"Combate: Você perderá seus itens se você fechar o jogo enquanto estiver em combate.")</f>
        <v>Combate: Você perderá seus itens se você fechar o jogo enquanto estiver em combate.</v>
      </c>
      <c r="H63" s="24" t="str">
        <f ca="1">IFERROR(__xludf.DUMMYFUNCTION("GOOGLETRANSLATE(B63, ""en"", ""de"")"),"Kampf: Sie verlieren Ihre Artikel, wenn Sie das Spiel während des Kampfes schließen.")</f>
        <v>Kampf: Sie verlieren Ihre Artikel, wenn Sie das Spiel während des Kampfes schließen.</v>
      </c>
      <c r="I63" s="23" t="str">
        <f ca="1">IFERROR(__xludf.DUMMYFUNCTION("GOOGLETRANSLATE(B63, ""en"", ""pl"")"),"Walka: stracisz swoje przedmioty, jeśli zamkniesz grę podczas walki.")</f>
        <v>Walka: stracisz swoje przedmioty, jeśli zamkniesz grę podczas walki.</v>
      </c>
      <c r="J63" s="25" t="str">
        <f ca="1">IFERROR(__xludf.DUMMYFUNCTION("GOOGLETRANSLATE(B63, ""en"", ""zh"")"),"战斗：如果在战斗中关闭游戏，您将丢失您的物品。")</f>
        <v>战斗：如果在战斗中关闭游戏，您将丢失您的物品。</v>
      </c>
      <c r="K63" s="25" t="str">
        <f ca="1">IFERROR(__xludf.DUMMYFUNCTION("GOOGLETRANSLATE(B63, ""en"", ""vi"")"),"Chiến đấu: Bạn sẽ mất các mặt hàng của mình nếu bạn đóng trò chơi trong khi chiến đấu.")</f>
        <v>Chiến đấu: Bạn sẽ mất các mặt hàng của mình nếu bạn đóng trò chơi trong khi chiến đấu.</v>
      </c>
      <c r="L63" s="26" t="str">
        <f ca="1">IFERROR(__xludf.DUMMYFUNCTION("GOOGLETRANSLATE(B63, ""en"", ""hr"")"),"Borba: izgubit ćete stavke ako zatvorite igru ​​dok ste u borbi.")</f>
        <v>Borba: izgubit ćete stavke ako zatvorite igru ​​dok ste u borbi.</v>
      </c>
      <c r="M63" s="28"/>
      <c r="N63" s="28"/>
      <c r="O63" s="28"/>
      <c r="P63" s="28"/>
      <c r="Q63" s="28"/>
      <c r="R63" s="28"/>
      <c r="S63" s="28"/>
      <c r="T63" s="28"/>
      <c r="U63" s="28"/>
      <c r="V63" s="28"/>
      <c r="W63" s="28"/>
      <c r="X63" s="28"/>
      <c r="Y63" s="28"/>
      <c r="Z63" s="28"/>
      <c r="AA63" s="28"/>
      <c r="AB63" s="28"/>
    </row>
    <row r="64" spans="1:28" ht="98" x14ac:dyDescent="0.15">
      <c r="A64" s="21" t="s">
        <v>154</v>
      </c>
      <c r="B64" s="22" t="s">
        <v>155</v>
      </c>
      <c r="C64" s="23" t="str">
        <f ca="1">IFERROR(__xludf.DUMMYFUNCTION("GOOGLETRANSLATE(B64, ""en"", ""fr"")"),"Compte: Définissez un nom d'utilisateur et un mot de passe pour ce personnage pour enregistrer vos progrès.")</f>
        <v>Compte: Définissez un nom d'utilisateur et un mot de passe pour ce personnage pour enregistrer vos progrès.</v>
      </c>
      <c r="D64" s="23" t="str">
        <f ca="1">IFERROR(__xludf.DUMMYFUNCTION("GOOGLETRANSLATE(B64, ""en"", ""es"")"),"Cuenta: Establezca un nombre de usuario y contraseña para que este personaje guarde su progreso.")</f>
        <v>Cuenta: Establezca un nombre de usuario y contraseña para que este personaje guarde su progreso.</v>
      </c>
      <c r="E64" s="23" t="str">
        <f ca="1">IFERROR(__xludf.DUMMYFUNCTION("GOOGLETRANSLATE(B64,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64" s="23" t="str">
        <f ca="1">IFERROR(__xludf.DUMMYFUNCTION("GOOGLETRANSLATE(B64, ""en"", ""tr"")"),"Hesap: İlerlemenizi kaydetmek için bu karakter için bir kullanıcı adı ve şifre ayarlayın.")</f>
        <v>Hesap: İlerlemenizi kaydetmek için bu karakter için bir kullanıcı adı ve şifre ayarlayın.</v>
      </c>
      <c r="G64" s="23" t="str">
        <f ca="1">IFERROR(__xludf.DUMMYFUNCTION("GOOGLETRANSLATE(B64, ""en"", ""pt"")"),"Conta: Defina um nome de usuário e senha para este caractere para salvar seu progresso.")</f>
        <v>Conta: Defina um nome de usuário e senha para este caractere para salvar seu progresso.</v>
      </c>
      <c r="H64" s="24" t="str">
        <f ca="1">IFERROR(__xludf.DUMMYFUNCTION("GOOGLETRANSLATE(B64, ""en"", ""de"")"),"Konto: Legen Sie einen Benutzernamen und ein Kennwort für dieses Zeichen fest, um Ihren Fortschritt zu speichern.")</f>
        <v>Konto: Legen Sie einen Benutzernamen und ein Kennwort für dieses Zeichen fest, um Ihren Fortschritt zu speichern.</v>
      </c>
      <c r="I64" s="23" t="str">
        <f ca="1">IFERROR(__xludf.DUMMYFUNCTION("GOOGLETRANSLATE(B64, ""en"", ""pl"")"),"Konto: Ustaw nazwę użytkownika i hasło do tej postaci, aby zapisać swoje postępy.")</f>
        <v>Konto: Ustaw nazwę użytkownika i hasło do tej postaci, aby zapisać swoje postępy.</v>
      </c>
      <c r="J64" s="25" t="str">
        <f ca="1">IFERROR(__xludf.DUMMYFUNCTION("GOOGLETRANSLATE(B64, ""en"", ""zh"")"),"帐户：为此字符设置用户名和密码以保存您的进度。")</f>
        <v>帐户：为此字符设置用户名和密码以保存您的进度。</v>
      </c>
      <c r="K64" s="25" t="str">
        <f ca="1">IFERROR(__xludf.DUMMYFUNCTION("GOOGLETRANSLATE(B64, ""en"", ""vi"")"),"Tài khoản: Đặt tên người dùng và mật khẩu cho nhân vật này để lưu tiến trình của bạn.")</f>
        <v>Tài khoản: Đặt tên người dùng và mật khẩu cho nhân vật này để lưu tiến trình của bạn.</v>
      </c>
      <c r="L64" s="26" t="str">
        <f ca="1">IFERROR(__xludf.DUMMYFUNCTION("GOOGLETRANSLATE(B64, ""en"", ""hr"")"),"Račun: Postavite korisničko ime i lozinku za ovaj znak za spremanje vašeg napretka.")</f>
        <v>Račun: Postavite korisničko ime i lozinku za ovaj znak za spremanje vašeg napretka.</v>
      </c>
      <c r="M64" s="28"/>
      <c r="N64" s="28"/>
      <c r="O64" s="28"/>
      <c r="P64" s="28"/>
      <c r="Q64" s="28"/>
      <c r="R64" s="28"/>
      <c r="S64" s="28"/>
      <c r="T64" s="28"/>
      <c r="U64" s="28"/>
      <c r="V64" s="28"/>
      <c r="W64" s="28"/>
      <c r="X64" s="28"/>
      <c r="Y64" s="28"/>
      <c r="Z64" s="28"/>
      <c r="AA64" s="28"/>
      <c r="AB64" s="28"/>
    </row>
    <row r="65" spans="1:28" ht="70" x14ac:dyDescent="0.15">
      <c r="A65" s="21" t="s">
        <v>156</v>
      </c>
      <c r="B65" s="22" t="s">
        <v>157</v>
      </c>
      <c r="C65" s="23" t="str">
        <f ca="1">IFERROR(__xludf.DUMMYFUNCTION("GOOGLETRANSLATE(B65, ""en"", ""fr"")"),"Paramètres: Appuyez sur pour afficher / masquer plus d'options.")</f>
        <v>Paramètres: Appuyez sur pour afficher / masquer plus d'options.</v>
      </c>
      <c r="D65" s="23" t="str">
        <f ca="1">IFERROR(__xludf.DUMMYFUNCTION("GOOGLETRANSLATE(B65, ""en"", ""es"")"),"Configuración: Presione para mostrar / ocultar más opciones.")</f>
        <v>Configuración: Presione para mostrar / ocultar más opciones.</v>
      </c>
      <c r="E65" s="23" t="str">
        <f ca="1">IFERROR(__xludf.DUMMYFUNCTION("GOOGLETRANSLATE(B65, ""en"", ""ru"")"),"Настройки: нажмите, чтобы показать / скрыть больше вариантов.")</f>
        <v>Настройки: нажмите, чтобы показать / скрыть больше вариантов.</v>
      </c>
      <c r="F65" s="23" t="str">
        <f ca="1">IFERROR(__xludf.DUMMYFUNCTION("GOOGLETRANSLATE(B65, ""en"", ""tr"")"),"Ayarlar: Daha fazla seçenek göstermek / gizlemek için tuşuna basın.")</f>
        <v>Ayarlar: Daha fazla seçenek göstermek / gizlemek için tuşuna basın.</v>
      </c>
      <c r="G65" s="23" t="str">
        <f ca="1">IFERROR(__xludf.DUMMYFUNCTION("GOOGLETRANSLATE(B65, ""en"", ""pt"")"),"Configurações: Pressione para mostrar / ocultar mais opções.")</f>
        <v>Configurações: Pressione para mostrar / ocultar mais opções.</v>
      </c>
      <c r="H65" s="24" t="str">
        <f ca="1">IFERROR(__xludf.DUMMYFUNCTION("GOOGLETRANSLATE(B65, ""en"", ""de"")"),"Einstellungen: Drücken Sie, um weitere Optionen anzuzeigen / auszublenden.")</f>
        <v>Einstellungen: Drücken Sie, um weitere Optionen anzuzeigen / auszublenden.</v>
      </c>
      <c r="I65" s="23" t="str">
        <f ca="1">IFERROR(__xludf.DUMMYFUNCTION("GOOGLETRANSLATE(B65, ""en"", ""pl"")"),"Ustawienia: Naciśnij, aby pokazać / ukryć więcej opcji.")</f>
        <v>Ustawienia: Naciśnij, aby pokazać / ukryć więcej opcji.</v>
      </c>
      <c r="J65" s="25" t="str">
        <f ca="1">IFERROR(__xludf.DUMMYFUNCTION("GOOGLETRANSLATE(B65, ""en"", ""zh"")"),"设置：按下以显示/隐藏更多选项。")</f>
        <v>设置：按下以显示/隐藏更多选项。</v>
      </c>
      <c r="K65" s="25" t="str">
        <f ca="1">IFERROR(__xludf.DUMMYFUNCTION("GOOGLETRANSLATE(B65, ""en"", ""vi"")"),"Cài đặt: Nhấn để hiển thị / ẩn nhiều tùy chọn hơn.")</f>
        <v>Cài đặt: Nhấn để hiển thị / ẩn nhiều tùy chọn hơn.</v>
      </c>
      <c r="L65" s="26" t="str">
        <f ca="1">IFERROR(__xludf.DUMMYFUNCTION("GOOGLETRANSLATE(B65, ""en"", ""hr"")"),"Postavke: Pritisnite za prikaz / skrivanje više opcija.")</f>
        <v>Postavke: Pritisnite za prikaz / skrivanje više opcija.</v>
      </c>
      <c r="M65" s="28"/>
      <c r="N65" s="28"/>
      <c r="O65" s="28"/>
      <c r="P65" s="28"/>
      <c r="Q65" s="28"/>
      <c r="R65" s="28"/>
      <c r="S65" s="28"/>
      <c r="T65" s="28"/>
      <c r="U65" s="28"/>
      <c r="V65" s="28"/>
      <c r="W65" s="28"/>
      <c r="X65" s="28"/>
      <c r="Y65" s="28"/>
      <c r="Z65" s="28"/>
      <c r="AA65" s="28"/>
      <c r="AB65" s="28"/>
    </row>
    <row r="66" spans="1:28" ht="14" x14ac:dyDescent="0.15">
      <c r="A66" s="21" t="s">
        <v>158</v>
      </c>
      <c r="B66" s="22" t="s">
        <v>158</v>
      </c>
      <c r="C66" s="23" t="str">
        <f ca="1">IFERROR(__xludf.DUMMYFUNCTION("GOOGLETRANSLATE(B66, ""en"", ""fr"")"),"Paramètres")</f>
        <v>Paramètres</v>
      </c>
      <c r="D66" s="23" t="str">
        <f ca="1">IFERROR(__xludf.DUMMYFUNCTION("GOOGLETRANSLATE(B66, ""en"", ""es"")"),"Ajustes")</f>
        <v>Ajustes</v>
      </c>
      <c r="E66" s="23" t="str">
        <f ca="1">IFERROR(__xludf.DUMMYFUNCTION("GOOGLETRANSLATE(B66, ""en"", ""ru"")"),"Настройки")</f>
        <v>Настройки</v>
      </c>
      <c r="F66" s="23" t="str">
        <f ca="1">IFERROR(__xludf.DUMMYFUNCTION("GOOGLETRANSLATE(B66, ""en"", ""tr"")"),"Ayarlar")</f>
        <v>Ayarlar</v>
      </c>
      <c r="G66" s="23" t="str">
        <f ca="1">IFERROR(__xludf.DUMMYFUNCTION("GOOGLETRANSLATE(B66, ""en"", ""pt"")"),"Definições")</f>
        <v>Definições</v>
      </c>
      <c r="H66" s="24" t="str">
        <f ca="1">IFERROR(__xludf.DUMMYFUNCTION("GOOGLETRANSLATE(B66, ""en"", ""de"")"),"Einstellungen")</f>
        <v>Einstellungen</v>
      </c>
      <c r="I66" s="23" t="str">
        <f ca="1">IFERROR(__xludf.DUMMYFUNCTION("GOOGLETRANSLATE(B66, ""en"", ""pl"")"),"Ustawienia")</f>
        <v>Ustawienia</v>
      </c>
      <c r="J66" s="25" t="str">
        <f ca="1">IFERROR(__xludf.DUMMYFUNCTION("GOOGLETRANSLATE(B66, ""en"", ""zh"")"),"设置")</f>
        <v>设置</v>
      </c>
      <c r="K66" s="25" t="str">
        <f ca="1">IFERROR(__xludf.DUMMYFUNCTION("GOOGLETRANSLATE(B66, ""en"", ""vi"")"),"Cài đặt")</f>
        <v>Cài đặt</v>
      </c>
      <c r="L66" s="26" t="str">
        <f ca="1">IFERROR(__xludf.DUMMYFUNCTION("GOOGLETRANSLATE(B66, ""en"", ""hr"")"),"Postavke")</f>
        <v>Postavke</v>
      </c>
      <c r="M66" s="28"/>
      <c r="N66" s="28"/>
      <c r="O66" s="28"/>
      <c r="P66" s="28"/>
      <c r="Q66" s="28"/>
      <c r="R66" s="28"/>
      <c r="S66" s="28"/>
      <c r="T66" s="28"/>
      <c r="U66" s="28"/>
      <c r="V66" s="28"/>
      <c r="W66" s="28"/>
      <c r="X66" s="28"/>
      <c r="Y66" s="28"/>
      <c r="Z66" s="28"/>
      <c r="AA66" s="28"/>
      <c r="AB66" s="28"/>
    </row>
    <row r="67" spans="1:28" ht="14" x14ac:dyDescent="0.15">
      <c r="A67" s="21" t="s">
        <v>159</v>
      </c>
      <c r="B67" s="22" t="s">
        <v>160</v>
      </c>
      <c r="C67" s="23" t="str">
        <f ca="1">IFERROR(__xludf.DUMMYFUNCTION("GOOGLETRANSLATE(B67, ""en"", ""fr"")"),"Plein écran")</f>
        <v>Plein écran</v>
      </c>
      <c r="D67" s="23" t="str">
        <f ca="1">IFERROR(__xludf.DUMMYFUNCTION("GOOGLETRANSLATE(B67, ""en"", ""es"")"),"Pantalla completa")</f>
        <v>Pantalla completa</v>
      </c>
      <c r="E67" s="23" t="str">
        <f ca="1">IFERROR(__xludf.DUMMYFUNCTION("GOOGLETRANSLATE(B67, ""en"", ""ru"")"),"Полноэкранный")</f>
        <v>Полноэкранный</v>
      </c>
      <c r="F67" s="23" t="str">
        <f ca="1">IFERROR(__xludf.DUMMYFUNCTION("GOOGLETRANSLATE(B67, ""en"", ""tr"")"),"Tam ekran")</f>
        <v>Tam ekran</v>
      </c>
      <c r="G67" s="23" t="str">
        <f ca="1">IFERROR(__xludf.DUMMYFUNCTION("GOOGLETRANSLATE(B67, ""en"", ""pt"")"),"Tela cheia")</f>
        <v>Tela cheia</v>
      </c>
      <c r="H67" s="24" t="str">
        <f ca="1">IFERROR(__xludf.DUMMYFUNCTION("GOOGLETRANSLATE(B67, ""en"", ""de"")"),"Vollbildschirm")</f>
        <v>Vollbildschirm</v>
      </c>
      <c r="I67" s="23" t="str">
        <f ca="1">IFERROR(__xludf.DUMMYFUNCTION("GOOGLETRANSLATE(B67, ""en"", ""pl"")"),"Pełny ekran")</f>
        <v>Pełny ekran</v>
      </c>
      <c r="J67" s="25" t="str">
        <f ca="1">IFERROR(__xludf.DUMMYFUNCTION("GOOGLETRANSLATE(B67, ""en"", ""zh"")"),"全屏")</f>
        <v>全屏</v>
      </c>
      <c r="K67" s="25" t="str">
        <f ca="1">IFERROR(__xludf.DUMMYFUNCTION("GOOGLETRANSLATE(B67, ""en"", ""vi"")"),"Toàn màn hình")</f>
        <v>Toàn màn hình</v>
      </c>
      <c r="L67" s="26" t="str">
        <f ca="1">IFERROR(__xludf.DUMMYFUNCTION("GOOGLETRANSLATE(B67, ""en"", ""hr"")"),"Puni zaslon")</f>
        <v>Puni zaslon</v>
      </c>
      <c r="M67" s="28"/>
      <c r="N67" s="28"/>
      <c r="O67" s="28"/>
      <c r="P67" s="28"/>
      <c r="Q67" s="28"/>
      <c r="R67" s="28"/>
      <c r="S67" s="28"/>
      <c r="T67" s="28"/>
      <c r="U67" s="28"/>
      <c r="V67" s="28"/>
      <c r="W67" s="28"/>
      <c r="X67" s="28"/>
      <c r="Y67" s="28"/>
      <c r="Z67" s="28"/>
      <c r="AA67" s="28"/>
      <c r="AB67" s="28"/>
    </row>
    <row r="68" spans="1:28" ht="14" x14ac:dyDescent="0.15">
      <c r="A68" s="21" t="s">
        <v>161</v>
      </c>
      <c r="B68" s="22" t="s">
        <v>162</v>
      </c>
      <c r="C68" s="23" t="str">
        <f ca="1">IFERROR(__xludf.DUMMYFUNCTION("GOOGLETRANSLATE(B68, ""en"", ""fr"")"),"Volume de la musique")</f>
        <v>Volume de la musique</v>
      </c>
      <c r="D68" s="23" t="str">
        <f ca="1">IFERROR(__xludf.DUMMYFUNCTION("GOOGLETRANSLATE(B68, ""en"", ""es"")"),"Volumen de la música")</f>
        <v>Volumen de la música</v>
      </c>
      <c r="E68" s="23" t="str">
        <f ca="1">IFERROR(__xludf.DUMMYFUNCTION("GOOGLETRANSLATE(B68, ""en"", ""ru"")"),"Объем музыки")</f>
        <v>Объем музыки</v>
      </c>
      <c r="F68" s="23" t="str">
        <f ca="1">IFERROR(__xludf.DUMMYFUNCTION("GOOGLETRANSLATE(B68, ""en"", ""tr"")"),"Müzik sesi")</f>
        <v>Müzik sesi</v>
      </c>
      <c r="G68" s="23" t="str">
        <f ca="1">IFERROR(__xludf.DUMMYFUNCTION("GOOGLETRANSLATE(B68, ""en"", ""pt"")"),"Volume da música")</f>
        <v>Volume da música</v>
      </c>
      <c r="H68" s="24" t="str">
        <f ca="1">IFERROR(__xludf.DUMMYFUNCTION("GOOGLETRANSLATE(B68, ""en"", ""de"")"),"Musiklautstärke")</f>
        <v>Musiklautstärke</v>
      </c>
      <c r="I68" s="23" t="str">
        <f ca="1">IFERROR(__xludf.DUMMYFUNCTION("GOOGLETRANSLATE(B68, ""en"", ""pl"")"),"Głośność muzyki")</f>
        <v>Głośność muzyki</v>
      </c>
      <c r="J68" s="25" t="str">
        <f ca="1">IFERROR(__xludf.DUMMYFUNCTION("GOOGLETRANSLATE(B68, ""en"", ""zh"")"),"音乐卷")</f>
        <v>音乐卷</v>
      </c>
      <c r="K68" s="25" t="str">
        <f ca="1">IFERROR(__xludf.DUMMYFUNCTION("GOOGLETRANSLATE(B68, ""en"", ""vi"")"),"Âm lượng nhạc")</f>
        <v>Âm lượng nhạc</v>
      </c>
      <c r="L68" s="26" t="str">
        <f ca="1">IFERROR(__xludf.DUMMYFUNCTION("GOOGLETRANSLATE(B68, ""en"", ""hr"")"),"Glasnoća glazbe")</f>
        <v>Glasnoća glazbe</v>
      </c>
      <c r="M68" s="28"/>
      <c r="N68" s="28"/>
      <c r="O68" s="28"/>
      <c r="P68" s="28"/>
      <c r="Q68" s="28"/>
      <c r="R68" s="28"/>
      <c r="S68" s="28"/>
      <c r="T68" s="28"/>
      <c r="U68" s="28"/>
      <c r="V68" s="28"/>
      <c r="W68" s="28"/>
      <c r="X68" s="28"/>
      <c r="Y68" s="28"/>
      <c r="Z68" s="28"/>
      <c r="AA68" s="28"/>
      <c r="AB68" s="28"/>
    </row>
    <row r="69" spans="1:28" ht="28" x14ac:dyDescent="0.15">
      <c r="A69" s="21" t="s">
        <v>163</v>
      </c>
      <c r="B69" s="22" t="s">
        <v>164</v>
      </c>
      <c r="C69" s="23" t="s">
        <v>165</v>
      </c>
      <c r="D69" s="23" t="str">
        <f ca="1">IFERROR(__xludf.DUMMYFUNCTION("GOOGLETRANSLATE(B69, ""en"", ""es"")"),"Volumen de los efectos")</f>
        <v>Volumen de los efectos</v>
      </c>
      <c r="E69" s="23" t="str">
        <f ca="1">IFERROR(__xludf.DUMMYFUNCTION("GOOGLETRANSLATE(B69, ""en"", ""ru"")"),"Влияние тома")</f>
        <v>Влияние тома</v>
      </c>
      <c r="F69" s="23" t="str">
        <f ca="1">IFERROR(__xludf.DUMMYFUNCTION("GOOGLETRANSLATE(B69, ""en"", ""tr"")"),"Efekt Hacmi")</f>
        <v>Efekt Hacmi</v>
      </c>
      <c r="G69" s="23" t="str">
        <f ca="1">IFERROR(__xludf.DUMMYFUNCTION("GOOGLETRANSLATE(B69, ""en"", ""pt"")"),"Volume de efeitos.")</f>
        <v>Volume de efeitos.</v>
      </c>
      <c r="H69" s="24" t="str">
        <f ca="1">IFERROR(__xludf.DUMMYFUNCTION("GOOGLETRANSLATE(B69, ""en"", ""de"")"),"Effektvolumen")</f>
        <v>Effektvolumen</v>
      </c>
      <c r="I69" s="23" t="str">
        <f ca="1">IFERROR(__xludf.DUMMYFUNCTION("GOOGLETRANSLATE(B69, ""en"", ""pl"")"),"Wolumin efekty.")</f>
        <v>Wolumin efekty.</v>
      </c>
      <c r="J69" s="25" t="str">
        <f ca="1">IFERROR(__xludf.DUMMYFUNCTION("GOOGLETRANSLATE(B69, ""en"", ""zh"")"),"效果卷")</f>
        <v>效果卷</v>
      </c>
      <c r="K69" s="25" t="str">
        <f ca="1">IFERROR(__xludf.DUMMYFUNCTION("GOOGLETRANSLATE(B69, ""en"", ""vi"")"),"Hiệu ứng Tập")</f>
        <v>Hiệu ứng Tập</v>
      </c>
      <c r="L69" s="26" t="str">
        <f ca="1">IFERROR(__xludf.DUMMYFUNCTION("GOOGLETRANSLATE(B69, ""en"", ""hr"")"),"Glasnoća učinaka")</f>
        <v>Glasnoća učinaka</v>
      </c>
      <c r="M69" s="28"/>
      <c r="N69" s="28"/>
      <c r="O69" s="28"/>
      <c r="P69" s="28"/>
      <c r="Q69" s="28"/>
      <c r="R69" s="28"/>
      <c r="S69" s="28"/>
      <c r="T69" s="28"/>
      <c r="U69" s="28"/>
      <c r="V69" s="28"/>
      <c r="W69" s="28"/>
      <c r="X69" s="28"/>
      <c r="Y69" s="28"/>
      <c r="Z69" s="28"/>
      <c r="AA69" s="28"/>
      <c r="AB69" s="28"/>
    </row>
    <row r="70" spans="1:28" ht="28" x14ac:dyDescent="0.15">
      <c r="A70" s="21" t="s">
        <v>166</v>
      </c>
      <c r="B70" s="22" t="s">
        <v>167</v>
      </c>
      <c r="C70" s="23" t="str">
        <f ca="1">IFERROR(__xludf.DUMMYFUNCTION("GOOGLETRANSLATE(B70, ""en"", ""fr"")"),"Échelle de l'interface graphique")</f>
        <v>Échelle de l'interface graphique</v>
      </c>
      <c r="D70" s="23" t="str">
        <f ca="1">IFERROR(__xludf.DUMMYFUNCTION("GOOGLETRANSLATE(B70, ""en"", ""es"")"),"Escala de GUI")</f>
        <v>Escala de GUI</v>
      </c>
      <c r="E70" s="23" t="str">
        <f ca="1">IFERROR(__xludf.DUMMYFUNCTION("GOOGLETRANSLATE(B70, ""en"", ""ru"")"),"Шкала GUI")</f>
        <v>Шкала GUI</v>
      </c>
      <c r="F70" s="23" t="str">
        <f ca="1">IFERROR(__xludf.DUMMYFUNCTION("GOOGLETRANSLATE(B70, ""en"", ""tr"")"),"Gui ölçeği")</f>
        <v>Gui ölçeği</v>
      </c>
      <c r="G70" s="23" t="str">
        <f ca="1">IFERROR(__xludf.DUMMYFUNCTION("GOOGLETRANSLATE(B70, ""en"", ""pt"")"),"Escala da GUI.")</f>
        <v>Escala da GUI.</v>
      </c>
      <c r="H70" s="24" t="str">
        <f ca="1">IFERROR(__xludf.DUMMYFUNCTION("GOOGLETRANSLATE(B70, ""en"", ""de"")"),"GUI-Skala")</f>
        <v>GUI-Skala</v>
      </c>
      <c r="I70" s="23" t="str">
        <f ca="1">IFERROR(__xludf.DUMMYFUNCTION("GOOGLETRANSLATE(B70, ""en"", ""pl"")"),"Skala GUI.")</f>
        <v>Skala GUI.</v>
      </c>
      <c r="J70" s="25" t="str">
        <f ca="1">IFERROR(__xludf.DUMMYFUNCTION("GOOGLETRANSLATE(B70, ""en"", ""zh"")"),"GUI规模")</f>
        <v>GUI规模</v>
      </c>
      <c r="K70" s="25" t="str">
        <f ca="1">IFERROR(__xludf.DUMMYFUNCTION("GOOGLETRANSLATE(B70, ""en"", ""vi"")"),"Quy mô GUI.")</f>
        <v>Quy mô GUI.</v>
      </c>
      <c r="L70" s="26" t="str">
        <f ca="1">IFERROR(__xludf.DUMMYFUNCTION("GOOGLETRANSLATE(B70, ""en"", ""hr"")"),"GUI ljestvica")</f>
        <v>GUI ljestvica</v>
      </c>
      <c r="M70" s="28"/>
      <c r="N70" s="28"/>
      <c r="O70" s="28"/>
      <c r="P70" s="28"/>
      <c r="Q70" s="28"/>
      <c r="R70" s="28"/>
      <c r="S70" s="28"/>
      <c r="T70" s="28"/>
      <c r="U70" s="28"/>
      <c r="V70" s="28"/>
      <c r="W70" s="28"/>
      <c r="X70" s="28"/>
      <c r="Y70" s="28"/>
      <c r="Z70" s="28"/>
      <c r="AA70" s="28"/>
      <c r="AB70" s="28"/>
    </row>
    <row r="71" spans="1:28" ht="28" x14ac:dyDescent="0.15">
      <c r="A71" s="21" t="s">
        <v>168</v>
      </c>
      <c r="B71" s="22" t="s">
        <v>169</v>
      </c>
      <c r="C71" s="23" t="str">
        <f ca="1">IFERROR(__xludf.DUMMYFUNCTION("GOOGLETRANSLATE(B71, ""en"", ""fr"")"),"Montrer le virtuel d-pad")</f>
        <v>Montrer le virtuel d-pad</v>
      </c>
      <c r="D71" s="23" t="str">
        <f ca="1">IFERROR(__xludf.DUMMYFUNCTION("GOOGLETRANSLATE(B71, ""en"", ""es"")"),"Mostrar el D-Pad virtual")</f>
        <v>Mostrar el D-Pad virtual</v>
      </c>
      <c r="E71" s="23" t="str">
        <f ca="1">IFERROR(__xludf.DUMMYFUNCTION("GOOGLETRANSLATE(B71, ""en"", ""ru"")"),"Показать виртуальную D-Pad")</f>
        <v>Показать виртуальную D-Pad</v>
      </c>
      <c r="F71" s="23" t="str">
        <f ca="1">IFERROR(__xludf.DUMMYFUNCTION("GOOGLETRANSLATE(B71, ""en"", ""tr"")"),"Sanal D-Pad'i göster")</f>
        <v>Sanal D-Pad'i göster</v>
      </c>
      <c r="G71" s="23" t="str">
        <f ca="1">IFERROR(__xludf.DUMMYFUNCTION("GOOGLETRANSLATE(B71, ""en"", ""pt"")"),"Mostrar o D-Pad virtual")</f>
        <v>Mostrar o D-Pad virtual</v>
      </c>
      <c r="H71" s="24" t="str">
        <f ca="1">IFERROR(__xludf.DUMMYFUNCTION("GOOGLETRANSLATE(B71, ""en"", ""de"")"),"Zeigen Sie das virtuelle D-Pad")</f>
        <v>Zeigen Sie das virtuelle D-Pad</v>
      </c>
      <c r="I71" s="23" t="str">
        <f ca="1">IFERROR(__xludf.DUMMYFUNCTION("GOOGLETRANSLATE(B71, ""en"", ""pl"")"),"Pokaż wirtualny D-pad")</f>
        <v>Pokaż wirtualny D-pad</v>
      </c>
      <c r="J71" s="25" t="str">
        <f ca="1">IFERROR(__xludf.DUMMYFUNCTION("GOOGLETRANSLATE(B71, ""en"", ""zh"")"),"显示虚拟D-PAD")</f>
        <v>显示虚拟D-PAD</v>
      </c>
      <c r="K71" s="25" t="str">
        <f ca="1">IFERROR(__xludf.DUMMYFUNCTION("GOOGLETRANSLATE(B71, ""en"", ""vi"")"),"Hiển thị d-pad ảo")</f>
        <v>Hiển thị d-pad ảo</v>
      </c>
      <c r="L71" s="26" t="str">
        <f ca="1">IFERROR(__xludf.DUMMYFUNCTION("GOOGLETRANSLATE(B71, ""en"", ""hr"")"),"Prikaži virtualni D-Pad")</f>
        <v>Prikaži virtualni D-Pad</v>
      </c>
      <c r="M71" s="28"/>
      <c r="N71" s="28"/>
      <c r="O71" s="28"/>
      <c r="P71" s="28"/>
      <c r="Q71" s="28"/>
      <c r="R71" s="28"/>
      <c r="S71" s="28"/>
      <c r="T71" s="28"/>
      <c r="U71" s="28"/>
      <c r="V71" s="28"/>
      <c r="W71" s="28"/>
      <c r="X71" s="28"/>
      <c r="Y71" s="28"/>
      <c r="Z71" s="28"/>
      <c r="AA71" s="28"/>
      <c r="AB71" s="28"/>
    </row>
    <row r="72" spans="1:28" ht="42" x14ac:dyDescent="0.15">
      <c r="A72" s="21" t="s">
        <v>170</v>
      </c>
      <c r="B72" s="22" t="s">
        <v>171</v>
      </c>
      <c r="C72" s="23" t="s">
        <v>172</v>
      </c>
      <c r="D72" s="23" t="str">
        <f ca="1">IFERROR(__xludf.DUMMYFUNCTION("GOOGLETRANSLATE(B72, ""en"", ""es"")"),"Añadir artículos recogidos a Hotbar")</f>
        <v>Añadir artículos recogidos a Hotbar</v>
      </c>
      <c r="E72" s="23" t="str">
        <f ca="1">IFERROR(__xludf.DUMMYFUNCTION("GOOGLETRANSLATE(B72, ""en"", ""ru"")"),"Добавьте подобранные предметы на hotbar")</f>
        <v>Добавьте подобранные предметы на hotbar</v>
      </c>
      <c r="F72" s="23" t="str">
        <f ca="1">IFERROR(__xludf.DUMMYFUNCTION("GOOGLETRANSLATE(B72, ""en"", ""tr"")"),"Hotbar'a Toplanan Öğeleri Ekle")</f>
        <v>Hotbar'a Toplanan Öğeleri Ekle</v>
      </c>
      <c r="G72" s="23" t="str">
        <f ca="1">IFERROR(__xludf.DUMMYFUNCTION("GOOGLETRANSLATE(B72, ""en"", ""pt"")"),"Adicionar itens pegos para o Hotbar")</f>
        <v>Adicionar itens pegos para o Hotbar</v>
      </c>
      <c r="H72" s="24" t="str">
        <f ca="1">IFERROR(__xludf.DUMMYFUNCTION("GOOGLETRANSLATE(B72, ""en"", ""de"")"),"Add Avimed Up-Elemente zu Hotbar")</f>
        <v>Add Avimed Up-Elemente zu Hotbar</v>
      </c>
      <c r="I72" s="23" t="str">
        <f ca="1">IFERROR(__xludf.DUMMYFUNCTION("GOOGLETRANSLATE(B72, ""en"", ""pl"")"),"Dodaj wybrane elementy do Hotbar")</f>
        <v>Dodaj wybrane elementy do Hotbar</v>
      </c>
      <c r="J72" s="25" t="str">
        <f ca="1">IFERROR(__xludf.DUMMYFUNCTION("GOOGLETRANSLATE(B72, ""en"", ""zh"")"),"将拾取的项目添加到HotBar")</f>
        <v>将拾取的项目添加到HotBar</v>
      </c>
      <c r="K72" s="25" t="str">
        <f ca="1">IFERROR(__xludf.DUMMYFUNCTION("GOOGLETRANSLATE(B72, ""en"", ""vi"")"),"Thêm các mục được chọn vào Hotbar")</f>
        <v>Thêm các mục được chọn vào Hotbar</v>
      </c>
      <c r="L72" s="26" t="str">
        <f ca="1">IFERROR(__xludf.DUMMYFUNCTION("GOOGLETRANSLATE(B72, ""en"", ""hr"")"),"Dodajte pokupljene stavke na Hotbar")</f>
        <v>Dodajte pokupljene stavke na Hotbar</v>
      </c>
      <c r="M72" s="28"/>
      <c r="N72" s="28"/>
      <c r="O72" s="28"/>
      <c r="P72" s="28"/>
      <c r="Q72" s="28"/>
      <c r="R72" s="28"/>
      <c r="S72" s="28"/>
      <c r="T72" s="28"/>
      <c r="U72" s="28"/>
      <c r="V72" s="28"/>
      <c r="W72" s="28"/>
      <c r="X72" s="28"/>
      <c r="Y72" s="28"/>
      <c r="Z72" s="28"/>
      <c r="AA72" s="28"/>
      <c r="AB72" s="28"/>
    </row>
    <row r="73" spans="1:28" ht="42" x14ac:dyDescent="0.15">
      <c r="A73" s="21" t="s">
        <v>173</v>
      </c>
      <c r="B73" s="22" t="s">
        <v>174</v>
      </c>
      <c r="C73" s="23" t="str">
        <f ca="1">IFERROR(__xludf.DUMMYFUNCTION("GOOGLETRANSLATE(B73, ""en"", ""fr"")"),"Filtre de profanation de chat")</f>
        <v>Filtre de profanation de chat</v>
      </c>
      <c r="D73" s="23" t="str">
        <f ca="1">IFERROR(__xludf.DUMMYFUNCTION("GOOGLETRANSLATE(B73, ""en"", ""es"")"),"Filtro de profanidad de chat")</f>
        <v>Filtro de profanidad de chat</v>
      </c>
      <c r="E73" s="23" t="str">
        <f ca="1">IFERROR(__xludf.DUMMYFUNCTION("GOOGLETRANSLATE(B73, ""en"", ""ru"")"),"Фильтр масштабирования чата")</f>
        <v>Фильтр масштабирования чата</v>
      </c>
      <c r="F73" s="23" t="str">
        <f ca="1">IFERROR(__xludf.DUMMYFUNCTION("GOOGLETRANSLATE(B73, ""en"", ""tr"")"),"Sohbet Küfür Filtresi")</f>
        <v>Sohbet Küfür Filtresi</v>
      </c>
      <c r="G73" s="23" t="str">
        <f ca="1">IFERROR(__xludf.DUMMYFUNCTION("GOOGLETRANSLATE(B73, ""en"", ""pt"")"),"Filtro de profanidade de bate-papo.")</f>
        <v>Filtro de profanidade de bate-papo.</v>
      </c>
      <c r="H73" s="24" t="str">
        <f ca="1">IFERROR(__xludf.DUMMYFUNCTION("GOOGLETRANSLATE(B73, ""en"", ""de"")"),"Chat-Profanity-Filter.")</f>
        <v>Chat-Profanity-Filter.</v>
      </c>
      <c r="I73" s="23" t="str">
        <f ca="1">IFERROR(__xludf.DUMMYFUNCTION("GOOGLETRANSLATE(B73, ""en"", ""pl"")"),"Filtr wielofunkcyjny czatu.")</f>
        <v>Filtr wielofunkcyjny czatu.</v>
      </c>
      <c r="J73" s="25" t="str">
        <f ca="1">IFERROR(__xludf.DUMMYFUNCTION("GOOGLETRANSLATE(B73, ""en"", ""zh"")"),"聊天亵渎过滤器")</f>
        <v>聊天亵渎过滤器</v>
      </c>
      <c r="K73" s="25" t="str">
        <f ca="1">IFERROR(__xludf.DUMMYFUNCTION("GOOGLETRANSLATE(B73, ""en"", ""vi"")"),"Trò chuyện Bộ lọc thô tục")</f>
        <v>Trò chuyện Bộ lọc thô tục</v>
      </c>
      <c r="L73" s="26" t="str">
        <f ca="1">IFERROR(__xludf.DUMMYFUNCTION("GOOGLETRANSLATE(B73, ""en"", ""hr"")"),"Filtar za razgovor")</f>
        <v>Filtar za razgovor</v>
      </c>
      <c r="M73" s="28"/>
      <c r="N73" s="28"/>
      <c r="O73" s="28"/>
      <c r="P73" s="28"/>
      <c r="Q73" s="28"/>
      <c r="R73" s="28"/>
      <c r="S73" s="28"/>
      <c r="T73" s="28"/>
      <c r="U73" s="28"/>
      <c r="V73" s="28"/>
      <c r="W73" s="28"/>
      <c r="X73" s="28"/>
      <c r="Y73" s="28"/>
      <c r="Z73" s="28"/>
      <c r="AA73" s="28"/>
      <c r="AB73" s="28"/>
    </row>
    <row r="74" spans="1:28" ht="14" x14ac:dyDescent="0.15">
      <c r="A74" s="21" t="s">
        <v>175</v>
      </c>
      <c r="B74" s="22" t="s">
        <v>176</v>
      </c>
      <c r="C74" s="23" t="str">
        <f ca="1">IFERROR(__xludf.DUMMYFUNCTION("GOOGLETRANSLATE(B74, ""en"", ""fr"")"),"Clignotant")</f>
        <v>Clignotant</v>
      </c>
      <c r="D74" s="23" t="str">
        <f ca="1">IFERROR(__xludf.DUMMYFUNCTION("GOOGLETRANSLATE(B74, ""en"", ""es"")"),"Parpadeo ligero")</f>
        <v>Parpadeo ligero</v>
      </c>
      <c r="E74" s="23" t="str">
        <f ca="1">IFERROR(__xludf.DUMMYFUNCTION("GOOGLETRANSLATE(B74, ""en"", ""ru"")"),"Легкий мерцание")</f>
        <v>Легкий мерцание</v>
      </c>
      <c r="F74" s="23" t="str">
        <f ca="1">IFERROR(__xludf.DUMMYFUNCTION("GOOGLETRANSLATE(B74, ""en"", ""tr"")"),"Hafif titreme")</f>
        <v>Hafif titreme</v>
      </c>
      <c r="G74" s="23" t="str">
        <f ca="1">IFERROR(__xludf.DUMMYFUNCTION("GOOGLETRANSLATE(B74, ""en"", ""pt"")"),"Cintilação leve")</f>
        <v>Cintilação leve</v>
      </c>
      <c r="H74" s="24" t="str">
        <f ca="1">IFERROR(__xludf.DUMMYFUNCTION("GOOGLETRANSLATE(B74, ""en"", ""de"")"),"Leichter Flimmern")</f>
        <v>Leichter Flimmern</v>
      </c>
      <c r="I74" s="23" t="str">
        <f ca="1">IFERROR(__xludf.DUMMYFUNCTION("GOOGLETRANSLATE(B74, ""en"", ""pl"")"),"Lekki migotanie")</f>
        <v>Lekki migotanie</v>
      </c>
      <c r="J74" s="25" t="str">
        <f ca="1">IFERROR(__xludf.DUMMYFUNCTION("GOOGLETRANSLATE(B74, ""en"", ""zh"")"),"轻闪烁")</f>
        <v>轻闪烁</v>
      </c>
      <c r="K74" s="25" t="str">
        <f ca="1">IFERROR(__xludf.DUMMYFUNCTION("GOOGLETRANSLATE(B74, ""en"", ""vi"")"),"Ánh sáng nhấp nháy")</f>
        <v>Ánh sáng nhấp nháy</v>
      </c>
      <c r="L74" s="26" t="str">
        <f ca="1">IFERROR(__xludf.DUMMYFUNCTION("GOOGLETRANSLATE(B74, ""en"", ""hr"")"),"Treperenje")</f>
        <v>Treperenje</v>
      </c>
      <c r="M74" s="28"/>
      <c r="N74" s="28"/>
      <c r="O74" s="28"/>
      <c r="P74" s="28"/>
      <c r="Q74" s="28"/>
      <c r="R74" s="28"/>
      <c r="S74" s="28"/>
      <c r="T74" s="28"/>
      <c r="U74" s="28"/>
      <c r="V74" s="28"/>
      <c r="W74" s="28"/>
      <c r="X74" s="28"/>
      <c r="Y74" s="28"/>
      <c r="Z74" s="28"/>
      <c r="AA74" s="28"/>
      <c r="AB74" s="28"/>
    </row>
    <row r="75" spans="1:28" ht="28" x14ac:dyDescent="0.15">
      <c r="A75" s="21" t="s">
        <v>177</v>
      </c>
      <c r="B75" s="22" t="s">
        <v>178</v>
      </c>
      <c r="C75" s="23" t="str">
        <f ca="1">IFERROR(__xludf.DUMMYFUNCTION("GOOGLETRANSLATE(B75, ""en"", ""fr"")"),"Afficher le comptoir FPS")</f>
        <v>Afficher le comptoir FPS</v>
      </c>
      <c r="D75" s="23" t="str">
        <f ca="1">IFERROR(__xludf.DUMMYFUNCTION("GOOGLETRANSLATE(B75, ""en"", ""es"")"),"Mostrar el contador de fps")</f>
        <v>Mostrar el contador de fps</v>
      </c>
      <c r="E75" s="23" t="str">
        <f ca="1">IFERROR(__xludf.DUMMYFUNCTION("GOOGLETRANSLATE(B75, ""en"", ""ru"")"),"Показать счетчик FPS")</f>
        <v>Показать счетчик FPS</v>
      </c>
      <c r="F75" s="23" t="str">
        <f ca="1">IFERROR(__xludf.DUMMYFUNCTION("GOOGLETRANSLATE(B75, ""en"", ""tr"")"),"Fps sayacı göster")</f>
        <v>Fps sayacı göster</v>
      </c>
      <c r="G75" s="23" t="str">
        <f ca="1">IFERROR(__xludf.DUMMYFUNCTION("GOOGLETRANSLATE(B75, ""en"", ""pt"")"),"Mostrar contador de fps.")</f>
        <v>Mostrar contador de fps.</v>
      </c>
      <c r="H75" s="24" t="str">
        <f ca="1">IFERROR(__xludf.DUMMYFUNCTION("GOOGLETRANSLATE(B75, ""en"", ""de"")"),"FPS-Zähler anzeigen.")</f>
        <v>FPS-Zähler anzeigen.</v>
      </c>
      <c r="I75" s="23" t="str">
        <f ca="1">IFERROR(__xludf.DUMMYFUNCTION("GOOGLETRANSLATE(B75, ""en"", ""pl"")"),"Pokaż Counter FPS.")</f>
        <v>Pokaż Counter FPS.</v>
      </c>
      <c r="J75" s="25" t="str">
        <f ca="1">IFERROR(__xludf.DUMMYFUNCTION("GOOGLETRANSLATE(B75, ""en"", ""zh"")"),"显示FPS柜台")</f>
        <v>显示FPS柜台</v>
      </c>
      <c r="K75" s="25" t="str">
        <f ca="1">IFERROR(__xludf.DUMMYFUNCTION("GOOGLETRANSLATE(B75, ""en"", ""vi"")"),"Hiển thị bộ đếm FPS")</f>
        <v>Hiển thị bộ đếm FPS</v>
      </c>
      <c r="L75" s="26" t="str">
        <f ca="1">IFERROR(__xludf.DUMMYFUNCTION("GOOGLETRANSLATE(B75, ""en"", ""hr"")"),"Prikaži fps brojač")</f>
        <v>Prikaži fps brojač</v>
      </c>
      <c r="M75" s="28"/>
      <c r="N75" s="28"/>
      <c r="O75" s="28"/>
      <c r="P75" s="28"/>
      <c r="Q75" s="28"/>
      <c r="R75" s="28"/>
      <c r="S75" s="28"/>
      <c r="T75" s="28"/>
      <c r="U75" s="28"/>
      <c r="V75" s="28"/>
      <c r="W75" s="28"/>
      <c r="X75" s="28"/>
      <c r="Y75" s="28"/>
      <c r="Z75" s="28"/>
      <c r="AA75" s="28"/>
      <c r="AB75" s="28"/>
    </row>
    <row r="76" spans="1:28" ht="28" x14ac:dyDescent="0.15">
      <c r="A76" s="21" t="s">
        <v>179</v>
      </c>
      <c r="B76" s="22" t="s">
        <v>180</v>
      </c>
      <c r="C76" s="23" t="str">
        <f ca="1">IFERROR(__xludf.DUMMYFUNCTION("GOOGLETRANSLATE(B76, ""en"", ""fr"")"),"Créer un compte")</f>
        <v>Créer un compte</v>
      </c>
      <c r="D76" s="23" t="str">
        <f ca="1">IFERROR(__xludf.DUMMYFUNCTION("GOOGLETRANSLATE(B76, ""en"", ""es"")"),"Crear una cuenta")</f>
        <v>Crear una cuenta</v>
      </c>
      <c r="E76" s="23" t="str">
        <f ca="1">IFERROR(__xludf.DUMMYFUNCTION("GOOGLETRANSLATE(B76, ""en"", ""ru"")"),"Создать аккаунт")</f>
        <v>Создать аккаунт</v>
      </c>
      <c r="F76" s="23" t="str">
        <f ca="1">IFERROR(__xludf.DUMMYFUNCTION("GOOGLETRANSLATE(B76, ""en"", ""tr"")"),"Hesap oluşturmak")</f>
        <v>Hesap oluşturmak</v>
      </c>
      <c r="G76" s="23" t="str">
        <f ca="1">IFERROR(__xludf.DUMMYFUNCTION("GOOGLETRANSLATE(B76, ""en"", ""pt"")"),"Criar Conta")</f>
        <v>Criar Conta</v>
      </c>
      <c r="H76" s="24" t="str">
        <f ca="1">IFERROR(__xludf.DUMMYFUNCTION("GOOGLETRANSLATE(B76, ""en"", ""de"")"),"Benutzerkonto erstellen")</f>
        <v>Benutzerkonto erstellen</v>
      </c>
      <c r="I76" s="23" t="str">
        <f ca="1">IFERROR(__xludf.DUMMYFUNCTION("GOOGLETRANSLATE(B76, ""en"", ""pl"")"),"Utwórz konto")</f>
        <v>Utwórz konto</v>
      </c>
      <c r="J76" s="25" t="str">
        <f ca="1">IFERROR(__xludf.DUMMYFUNCTION("GOOGLETRANSLATE(B76, ""en"", ""zh"")"),"创建账户")</f>
        <v>创建账户</v>
      </c>
      <c r="K76" s="25" t="str">
        <f ca="1">IFERROR(__xludf.DUMMYFUNCTION("GOOGLETRANSLATE(B76, ""en"", ""vi"")"),"Tạo tài khoản")</f>
        <v>Tạo tài khoản</v>
      </c>
      <c r="L76" s="26" t="str">
        <f ca="1">IFERROR(__xludf.DUMMYFUNCTION("GOOGLETRANSLATE(B76, ""en"", ""hr"")"),"Stvoriti račun")</f>
        <v>Stvoriti račun</v>
      </c>
      <c r="M76" s="28"/>
      <c r="N76" s="28"/>
      <c r="O76" s="28"/>
      <c r="P76" s="28"/>
      <c r="Q76" s="28"/>
      <c r="R76" s="28"/>
      <c r="S76" s="28"/>
      <c r="T76" s="28"/>
      <c r="U76" s="28"/>
      <c r="V76" s="28"/>
      <c r="W76" s="28"/>
      <c r="X76" s="28"/>
      <c r="Y76" s="28"/>
      <c r="Z76" s="28"/>
      <c r="AA76" s="28"/>
      <c r="AB76" s="28"/>
    </row>
    <row r="77" spans="1:28" ht="98" x14ac:dyDescent="0.15">
      <c r="A77" s="21" t="s">
        <v>181</v>
      </c>
      <c r="B77" s="22" t="s">
        <v>182</v>
      </c>
      <c r="C77" s="23" t="s">
        <v>183</v>
      </c>
      <c r="D77" s="23" t="str">
        <f ca="1">IFERROR(__xludf.DUMMYFUNCTION("GOOGLETRANSLATE(B77, ""en"", ""es"")"),"Elija un nombre de usuario y contraseña para guardar este carácter para que pueda iniciar sesión más tarde.")</f>
        <v>Elija un nombre de usuario y contraseña para guardar este carácter para que pueda iniciar sesión más tarde.</v>
      </c>
      <c r="E77" s="23" t="str">
        <f ca="1">IFERROR(__xludf.DUMMYFUNCTION("GOOGLETRANSLATE(B77,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7" s="23" t="str">
        <f ca="1">IFERROR(__xludf.DUMMYFUNCTION("GOOGLETRANSLATE(B77, ""en"", ""tr"")"),"Bu karakteri kaydetmek için bir kullanıcı adı ve şifre seçin, böylece daha sonra giriş yapabilirsiniz.")</f>
        <v>Bu karakteri kaydetmek için bir kullanıcı adı ve şifre seçin, böylece daha sonra giriş yapabilirsiniz.</v>
      </c>
      <c r="G77" s="23" t="str">
        <f ca="1">IFERROR(__xludf.DUMMYFUNCTION("GOOGLETRANSLATE(B77, ""en"", ""pt"")"),"Escolha um nome de usuário e senha para salvar este caractere para que você possa efetuar login mais tarde.")</f>
        <v>Escolha um nome de usuário e senha para salvar este caractere para que você possa efetuar login mais tarde.</v>
      </c>
      <c r="H77" s="24" t="str">
        <f ca="1">IFERROR(__xludf.DUMMYFUNCTION("GOOGLETRANSLATE(B77, ""en"", ""de"")"),"Wählen Sie einen Benutzernamen und ein Kennwort, um dieses Zeichen zu speichern, damit Sie sich später anmelden können.")</f>
        <v>Wählen Sie einen Benutzernamen und ein Kennwort, um dieses Zeichen zu speichern, damit Sie sich später anmelden können.</v>
      </c>
      <c r="I77" s="23" t="str">
        <f ca="1">IFERROR(__xludf.DUMMYFUNCTION("GOOGLETRANSLATE(B77, ""en"", ""pl"")"),"Wybierz nazwę użytkownika i hasło, aby zapisać tę znak, dzięki czemu możesz się zalogować później.")</f>
        <v>Wybierz nazwę użytkownika i hasło, aby zapisać tę znak, dzięki czemu możesz się zalogować później.</v>
      </c>
      <c r="J77" s="25" t="str">
        <f ca="1">IFERROR(__xludf.DUMMYFUNCTION("GOOGLETRANSLATE(B77, ""en"", ""zh"")"),"选择用户名和密码以保存此字符，以便稍后登录。")</f>
        <v>选择用户名和密码以保存此字符，以便稍后登录。</v>
      </c>
      <c r="K77" s="25" t="str">
        <f ca="1">IFERROR(__xludf.DUMMYFUNCTION("GOOGLETRANSLATE(B77, ""en"", ""vi"")"),"Chọn tên người dùng và mật khẩu để lưu ký tự này để bạn có thể đăng nhập sau.")</f>
        <v>Chọn tên người dùng và mật khẩu để lưu ký tự này để bạn có thể đăng nhập sau.</v>
      </c>
      <c r="L77" s="26" t="str">
        <f ca="1">IFERROR(__xludf.DUMMYFUNCTION("GOOGLETRANSLATE(B77, ""en"", ""hr"")"),"Odaberite korisničko ime i lozinku za spremanje ovog znaka tako da se možete prijaviti kasnije.")</f>
        <v>Odaberite korisničko ime i lozinku za spremanje ovog znaka tako da se možete prijaviti kasnije.</v>
      </c>
      <c r="M77" s="28"/>
      <c r="N77" s="28"/>
      <c r="O77" s="28"/>
      <c r="P77" s="28"/>
      <c r="Q77" s="28"/>
      <c r="R77" s="28"/>
      <c r="S77" s="28"/>
      <c r="T77" s="28"/>
      <c r="U77" s="28"/>
      <c r="V77" s="28"/>
      <c r="W77" s="28"/>
      <c r="X77" s="28"/>
      <c r="Y77" s="28"/>
      <c r="Z77" s="28"/>
      <c r="AA77" s="28"/>
      <c r="AB77" s="28"/>
    </row>
    <row r="78" spans="1:28" ht="28" x14ac:dyDescent="0.15">
      <c r="A78" s="21" t="s">
        <v>184</v>
      </c>
      <c r="B78" s="22" t="s">
        <v>185</v>
      </c>
      <c r="C78" s="23" t="str">
        <f ca="1">IFERROR(__xludf.DUMMYFUNCTION("GOOGLETRANSLATE(B78, ""en"", ""fr"")"),"Entrez un nom d'utilisateur")</f>
        <v>Entrez un nom d'utilisateur</v>
      </c>
      <c r="D78" s="23" t="str">
        <f ca="1">IFERROR(__xludf.DUMMYFUNCTION("GOOGLETRANSLATE(B78, ""en"", ""es"")"),"Introduzca un nombre de usuario")</f>
        <v>Introduzca un nombre de usuario</v>
      </c>
      <c r="E78" s="23" t="str">
        <f ca="1">IFERROR(__xludf.DUMMYFUNCTION("GOOGLETRANSLATE(B78, ""en"", ""ru"")"),"Введите имя пользователя")</f>
        <v>Введите имя пользователя</v>
      </c>
      <c r="F78" s="23" t="str">
        <f ca="1">IFERROR(__xludf.DUMMYFUNCTION("GOOGLETRANSLATE(B78, ""en"", ""tr"")"),"Bir kullanıcı adı girin")</f>
        <v>Bir kullanıcı adı girin</v>
      </c>
      <c r="G78" s="23" t="str">
        <f ca="1">IFERROR(__xludf.DUMMYFUNCTION("GOOGLETRANSLATE(B78, ""en"", ""pt"")"),"Digite um nome de usuário")</f>
        <v>Digite um nome de usuário</v>
      </c>
      <c r="H78" s="24" t="str">
        <f ca="1">IFERROR(__xludf.DUMMYFUNCTION("GOOGLETRANSLATE(B78, ""en"", ""de"")"),"Gebe einen Benutzernamen ein")</f>
        <v>Gebe einen Benutzernamen ein</v>
      </c>
      <c r="I78" s="23" t="str">
        <f ca="1">IFERROR(__xludf.DUMMYFUNCTION("GOOGLETRANSLATE(B78, ""en"", ""pl"")"),"Wpisz nazwę użytkownika")</f>
        <v>Wpisz nazwę użytkownika</v>
      </c>
      <c r="J78" s="25" t="str">
        <f ca="1">IFERROR(__xludf.DUMMYFUNCTION("GOOGLETRANSLATE(B78, ""en"", ""zh"")"),"输入用户名")</f>
        <v>输入用户名</v>
      </c>
      <c r="K78" s="25" t="str">
        <f ca="1">IFERROR(__xludf.DUMMYFUNCTION("GOOGLETRANSLATE(B78, ""en"", ""vi"")"),"Nhập tên người sử dụng")</f>
        <v>Nhập tên người sử dụng</v>
      </c>
      <c r="L78" s="26" t="str">
        <f ca="1">IFERROR(__xludf.DUMMYFUNCTION("GOOGLETRANSLATE(B78, ""en"", ""hr"")"),"Unesite korisničko ime")</f>
        <v>Unesite korisničko ime</v>
      </c>
      <c r="M78" s="28"/>
      <c r="N78" s="28"/>
      <c r="O78" s="28"/>
      <c r="P78" s="28"/>
      <c r="Q78" s="28"/>
      <c r="R78" s="28"/>
      <c r="S78" s="28"/>
      <c r="T78" s="28"/>
      <c r="U78" s="28"/>
      <c r="V78" s="28"/>
      <c r="W78" s="28"/>
      <c r="X78" s="28"/>
      <c r="Y78" s="28"/>
      <c r="Z78" s="28"/>
      <c r="AA78" s="28"/>
      <c r="AB78" s="28"/>
    </row>
    <row r="79" spans="1:28" ht="28" x14ac:dyDescent="0.15">
      <c r="A79" s="21" t="s">
        <v>186</v>
      </c>
      <c r="B79" s="22" t="s">
        <v>187</v>
      </c>
      <c r="C79" s="23" t="str">
        <f ca="1">IFERROR(__xludf.DUMMYFUNCTION("GOOGLETRANSLATE(B79, ""en"", ""fr"")"),"Entrer un mot de passe")</f>
        <v>Entrer un mot de passe</v>
      </c>
      <c r="D79" s="23" t="str">
        <f ca="1">IFERROR(__xludf.DUMMYFUNCTION("GOOGLETRANSLATE(B79, ""en"", ""es"")"),"Ingrese una contraseña")</f>
        <v>Ingrese una contraseña</v>
      </c>
      <c r="E79" s="23" t="str">
        <f ca="1">IFERROR(__xludf.DUMMYFUNCTION("GOOGLETRANSLATE(B79, ""en"", ""ru"")"),"введите пароль")</f>
        <v>введите пароль</v>
      </c>
      <c r="F79" s="23" t="str">
        <f ca="1">IFERROR(__xludf.DUMMYFUNCTION("GOOGLETRANSLATE(B79, ""en"", ""tr"")"),"Bir parola girin")</f>
        <v>Bir parola girin</v>
      </c>
      <c r="G79" s="23" t="str">
        <f ca="1">IFERROR(__xludf.DUMMYFUNCTION("GOOGLETRANSLATE(B79, ""en"", ""pt"")"),"insira uma senha")</f>
        <v>insira uma senha</v>
      </c>
      <c r="H79" s="24" t="str">
        <f ca="1">IFERROR(__xludf.DUMMYFUNCTION("GOOGLETRANSLATE(B79, ""en"", ""de"")"),"Geben Sie ein Passwort ein")</f>
        <v>Geben Sie ein Passwort ein</v>
      </c>
      <c r="I79" s="23" t="str">
        <f ca="1">IFERROR(__xludf.DUMMYFUNCTION("GOOGLETRANSLATE(B79, ""en"", ""pl"")"),"Wpisz hasło")</f>
        <v>Wpisz hasło</v>
      </c>
      <c r="J79" s="25" t="str">
        <f ca="1">IFERROR(__xludf.DUMMYFUNCTION("GOOGLETRANSLATE(B79, ""en"", ""zh"")"),"输入密码")</f>
        <v>输入密码</v>
      </c>
      <c r="K79" s="25" t="str">
        <f ca="1">IFERROR(__xludf.DUMMYFUNCTION("GOOGLETRANSLATE(B79, ""en"", ""vi"")"),"nhập mật khẩu")</f>
        <v>nhập mật khẩu</v>
      </c>
      <c r="L79" s="26" t="str">
        <f ca="1">IFERROR(__xludf.DUMMYFUNCTION("GOOGLETRANSLATE(B79, ""en"", ""hr"")"),"Unesite lozinku")</f>
        <v>Unesite lozinku</v>
      </c>
      <c r="M79" s="28"/>
      <c r="N79" s="28"/>
      <c r="O79" s="28"/>
      <c r="P79" s="28"/>
      <c r="Q79" s="28"/>
      <c r="R79" s="28"/>
      <c r="S79" s="28"/>
      <c r="T79" s="28"/>
      <c r="U79" s="28"/>
      <c r="V79" s="28"/>
      <c r="W79" s="28"/>
      <c r="X79" s="28"/>
      <c r="Y79" s="28"/>
      <c r="Z79" s="28"/>
      <c r="AA79" s="28"/>
      <c r="AB79" s="28"/>
    </row>
    <row r="80" spans="1:28" ht="28" x14ac:dyDescent="0.15">
      <c r="A80" s="21" t="s">
        <v>180</v>
      </c>
      <c r="B80" s="22" t="s">
        <v>180</v>
      </c>
      <c r="C80" s="23" t="str">
        <f ca="1">IFERROR(__xludf.DUMMYFUNCTION("GOOGLETRANSLATE(B80, ""en"", ""fr"")"),"Créer un compte")</f>
        <v>Créer un compte</v>
      </c>
      <c r="D80" s="23" t="str">
        <f ca="1">IFERROR(__xludf.DUMMYFUNCTION("GOOGLETRANSLATE(B80, ""en"", ""es"")"),"Crear una cuenta")</f>
        <v>Crear una cuenta</v>
      </c>
      <c r="E80" s="23" t="str">
        <f ca="1">IFERROR(__xludf.DUMMYFUNCTION("GOOGLETRANSLATE(B80, ""en"", ""ru"")"),"Создать аккаунт")</f>
        <v>Создать аккаунт</v>
      </c>
      <c r="F80" s="23" t="str">
        <f ca="1">IFERROR(__xludf.DUMMYFUNCTION("GOOGLETRANSLATE(B80, ""en"", ""tr"")"),"Hesap oluşturmak")</f>
        <v>Hesap oluşturmak</v>
      </c>
      <c r="G80" s="23" t="str">
        <f ca="1">IFERROR(__xludf.DUMMYFUNCTION("GOOGLETRANSLATE(B80, ""en"", ""pt"")"),"Criar Conta")</f>
        <v>Criar Conta</v>
      </c>
      <c r="H80" s="24" t="str">
        <f ca="1">IFERROR(__xludf.DUMMYFUNCTION("GOOGLETRANSLATE(B80, ""en"", ""de"")"),"Benutzerkonto erstellen")</f>
        <v>Benutzerkonto erstellen</v>
      </c>
      <c r="I80" s="23" t="str">
        <f ca="1">IFERROR(__xludf.DUMMYFUNCTION("GOOGLETRANSLATE(B80, ""en"", ""pl"")"),"Utwórz konto")</f>
        <v>Utwórz konto</v>
      </c>
      <c r="J80" s="25" t="str">
        <f ca="1">IFERROR(__xludf.DUMMYFUNCTION("GOOGLETRANSLATE(B80, ""en"", ""zh"")"),"创建账户")</f>
        <v>创建账户</v>
      </c>
      <c r="K80" s="25" t="str">
        <f ca="1">IFERROR(__xludf.DUMMYFUNCTION("GOOGLETRANSLATE(B80, ""en"", ""vi"")"),"Tạo tài khoản")</f>
        <v>Tạo tài khoản</v>
      </c>
      <c r="L80" s="26" t="str">
        <f ca="1">IFERROR(__xludf.DUMMYFUNCTION("GOOGLETRANSLATE(B80, ""en"", ""hr"")"),"Stvoriti račun")</f>
        <v>Stvoriti račun</v>
      </c>
      <c r="M80" s="28"/>
      <c r="N80" s="28"/>
      <c r="O80" s="28"/>
      <c r="P80" s="28"/>
      <c r="Q80" s="28"/>
      <c r="R80" s="28"/>
      <c r="S80" s="28"/>
      <c r="T80" s="28"/>
      <c r="U80" s="28"/>
      <c r="V80" s="28"/>
      <c r="W80" s="28"/>
      <c r="X80" s="28"/>
      <c r="Y80" s="28"/>
      <c r="Z80" s="28"/>
      <c r="AA80" s="28"/>
      <c r="AB80" s="28"/>
    </row>
    <row r="81" spans="1:28" ht="28" x14ac:dyDescent="0.15">
      <c r="A81" s="21" t="s">
        <v>188</v>
      </c>
      <c r="B81" s="22" t="s">
        <v>188</v>
      </c>
      <c r="C81" s="23" t="s">
        <v>189</v>
      </c>
      <c r="D81" s="23" t="str">
        <f ca="1">IFERROR(__xludf.DUMMYFUNCTION("GOOGLETRANSLATE(B81, ""en"", ""es"")"),"Nombre de usuario tomado")</f>
        <v>Nombre de usuario tomado</v>
      </c>
      <c r="E81" s="23" t="str">
        <f ca="1">IFERROR(__xludf.DUMMYFUNCTION("GOOGLETRANSLATE(B81, ""en"", ""ru"")"),"Имя пользователя принято")</f>
        <v>Имя пользователя принято</v>
      </c>
      <c r="F81" s="23" t="str">
        <f ca="1">IFERROR(__xludf.DUMMYFUNCTION("GOOGLETRANSLATE(B81, ""en"", ""tr"")"),"Kullanıcı adı alınmış")</f>
        <v>Kullanıcı adı alınmış</v>
      </c>
      <c r="G81" s="23" t="str">
        <f ca="1">IFERROR(__xludf.DUMMYFUNCTION("GOOGLETRANSLATE(B81, ""en"", ""pt"")"),"Nome de usuário já utilizado")</f>
        <v>Nome de usuário já utilizado</v>
      </c>
      <c r="H81" s="24" t="str">
        <f ca="1">IFERROR(__xludf.DUMMYFUNCTION("GOOGLETRANSLATE(B81, ""en"", ""de"")"),"Benutzername vergeben")</f>
        <v>Benutzername vergeben</v>
      </c>
      <c r="I81" s="23" t="str">
        <f ca="1">IFERROR(__xludf.DUMMYFUNCTION("GOOGLETRANSLATE(B81, ""en"", ""pl"")"),"Nazwa użytkownika zajęta")</f>
        <v>Nazwa użytkownika zajęta</v>
      </c>
      <c r="J81" s="25" t="str">
        <f ca="1">IFERROR(__xludf.DUMMYFUNCTION("GOOGLETRANSLATE(B81, ""en"", ""zh"")"),"用户名已被使用")</f>
        <v>用户名已被使用</v>
      </c>
      <c r="K81" s="25" t="str">
        <f ca="1">IFERROR(__xludf.DUMMYFUNCTION("GOOGLETRANSLATE(B81, ""en"", ""vi"")"),"Tên này đã dc sử dụng")</f>
        <v>Tên này đã dc sử dụng</v>
      </c>
      <c r="L81" s="26" t="str">
        <f ca="1">IFERROR(__xludf.DUMMYFUNCTION("GOOGLETRANSLATE(B81, ""en"", ""hr"")"),"Korisničko ime zauzeto")</f>
        <v>Korisničko ime zauzeto</v>
      </c>
      <c r="M81" s="28"/>
      <c r="N81" s="28"/>
      <c r="O81" s="28"/>
      <c r="P81" s="28"/>
      <c r="Q81" s="28"/>
      <c r="R81" s="28"/>
      <c r="S81" s="28"/>
      <c r="T81" s="28"/>
      <c r="U81" s="28"/>
      <c r="V81" s="28"/>
      <c r="W81" s="28"/>
      <c r="X81" s="28"/>
      <c r="Y81" s="28"/>
      <c r="Z81" s="28"/>
      <c r="AA81" s="28"/>
      <c r="AB81" s="28"/>
    </row>
    <row r="82" spans="1:28" ht="14" x14ac:dyDescent="0.15">
      <c r="A82" s="21" t="s">
        <v>190</v>
      </c>
      <c r="B82" s="22" t="s">
        <v>191</v>
      </c>
      <c r="C82" s="23" t="str">
        <f ca="1">IFERROR(__xludf.DUMMYFUNCTION("GOOGLETRANSLATE(B82, ""en"", ""fr"")"),"Compte")</f>
        <v>Compte</v>
      </c>
      <c r="D82" s="23" t="str">
        <f ca="1">IFERROR(__xludf.DUMMYFUNCTION("GOOGLETRANSLATE(B82, ""en"", ""es"")"),"Cuenta")</f>
        <v>Cuenta</v>
      </c>
      <c r="E82" s="23" t="str">
        <f ca="1">IFERROR(__xludf.DUMMYFUNCTION("GOOGLETRANSLATE(B82, ""en"", ""ru"")"),"Счет")</f>
        <v>Счет</v>
      </c>
      <c r="F82" s="23" t="str">
        <f ca="1">IFERROR(__xludf.DUMMYFUNCTION("GOOGLETRANSLATE(B82, ""en"", ""tr"")"),"Hesap")</f>
        <v>Hesap</v>
      </c>
      <c r="G82" s="23" t="str">
        <f ca="1">IFERROR(__xludf.DUMMYFUNCTION("GOOGLETRANSLATE(B82, ""en"", ""pt"")"),"Conta")</f>
        <v>Conta</v>
      </c>
      <c r="H82" s="24" t="str">
        <f ca="1">IFERROR(__xludf.DUMMYFUNCTION("GOOGLETRANSLATE(B82, ""en"", ""de"")"),"Konto")</f>
        <v>Konto</v>
      </c>
      <c r="I82" s="23" t="str">
        <f ca="1">IFERROR(__xludf.DUMMYFUNCTION("GOOGLETRANSLATE(B82, ""en"", ""pl"")"),"Konto")</f>
        <v>Konto</v>
      </c>
      <c r="J82" s="25" t="str">
        <f ca="1">IFERROR(__xludf.DUMMYFUNCTION("GOOGLETRANSLATE(B82, ""en"", ""zh"")"),"帐户")</f>
        <v>帐户</v>
      </c>
      <c r="K82" s="25" t="str">
        <f ca="1">IFERROR(__xludf.DUMMYFUNCTION("GOOGLETRANSLATE(B82, ""en"", ""vi"")"),"Tài khoản")</f>
        <v>Tài khoản</v>
      </c>
      <c r="L82" s="26" t="str">
        <f ca="1">IFERROR(__xludf.DUMMYFUNCTION("GOOGLETRANSLATE(B82, ""en"", ""hr"")"),"Račun")</f>
        <v>Račun</v>
      </c>
      <c r="M82" s="28"/>
      <c r="N82" s="28"/>
      <c r="O82" s="28"/>
      <c r="P82" s="28"/>
      <c r="Q82" s="28"/>
      <c r="R82" s="28"/>
      <c r="S82" s="28"/>
      <c r="T82" s="28"/>
      <c r="U82" s="28"/>
      <c r="V82" s="28"/>
      <c r="W82" s="28"/>
      <c r="X82" s="28"/>
      <c r="Y82" s="28"/>
      <c r="Z82" s="28"/>
      <c r="AA82" s="28"/>
      <c r="AB82" s="28"/>
    </row>
    <row r="83" spans="1:28" ht="28" x14ac:dyDescent="0.15">
      <c r="A83" s="21" t="s">
        <v>192</v>
      </c>
      <c r="B83" s="22" t="s">
        <v>193</v>
      </c>
      <c r="C83" s="23" t="str">
        <f ca="1">IFERROR(__xludf.DUMMYFUNCTION("GOOGLETRANSLATE(B83, ""en"", ""fr"")"),"Changer le mot de passe")</f>
        <v>Changer le mot de passe</v>
      </c>
      <c r="D83" s="23" t="str">
        <f ca="1">IFERROR(__xludf.DUMMYFUNCTION("GOOGLETRANSLATE(B83, ""en"", ""es"")"),"Cambiar la contraseña")</f>
        <v>Cambiar la contraseña</v>
      </c>
      <c r="E83" s="23" t="str">
        <f ca="1">IFERROR(__xludf.DUMMYFUNCTION("GOOGLETRANSLATE(B83, ""en"", ""ru"")"),"Измени пароль")</f>
        <v>Измени пароль</v>
      </c>
      <c r="F83" s="23" t="str">
        <f ca="1">IFERROR(__xludf.DUMMYFUNCTION("GOOGLETRANSLATE(B83, ""en"", ""tr"")"),"Şifre değiştir")</f>
        <v>Şifre değiştir</v>
      </c>
      <c r="G83" s="23" t="str">
        <f ca="1">IFERROR(__xludf.DUMMYFUNCTION("GOOGLETRANSLATE(B83, ""en"", ""pt"")"),"Mudar senha")</f>
        <v>Mudar senha</v>
      </c>
      <c r="H83" s="24" t="str">
        <f ca="1">IFERROR(__xludf.DUMMYFUNCTION("GOOGLETRANSLATE(B83, ""en"", ""de"")"),"Passwort ändern")</f>
        <v>Passwort ändern</v>
      </c>
      <c r="I83" s="23" t="str">
        <f ca="1">IFERROR(__xludf.DUMMYFUNCTION("GOOGLETRANSLATE(B83, ""en"", ""pl"")"),"Zmień hasło")</f>
        <v>Zmień hasło</v>
      </c>
      <c r="J83" s="25" t="str">
        <f ca="1">IFERROR(__xludf.DUMMYFUNCTION("GOOGLETRANSLATE(B83, ""en"", ""zh"")"),"更改密码")</f>
        <v>更改密码</v>
      </c>
      <c r="K83" s="25" t="str">
        <f ca="1">IFERROR(__xludf.DUMMYFUNCTION("GOOGLETRANSLATE(B83, ""en"", ""vi"")"),"Đổi mật khẩu")</f>
        <v>Đổi mật khẩu</v>
      </c>
      <c r="L83" s="26" t="str">
        <f ca="1">IFERROR(__xludf.DUMMYFUNCTION("GOOGLETRANSLATE(B83, ""en"", ""hr"")"),"Promijeniti zaporku")</f>
        <v>Promijeniti zaporku</v>
      </c>
      <c r="M83" s="28"/>
      <c r="N83" s="28"/>
      <c r="O83" s="28"/>
      <c r="P83" s="28"/>
      <c r="Q83" s="28"/>
      <c r="R83" s="28"/>
      <c r="S83" s="28"/>
      <c r="T83" s="28"/>
      <c r="U83" s="28"/>
      <c r="V83" s="28"/>
      <c r="W83" s="28"/>
      <c r="X83" s="28"/>
      <c r="Y83" s="28"/>
      <c r="Z83" s="28"/>
      <c r="AA83" s="28"/>
      <c r="AB83" s="28"/>
    </row>
    <row r="84" spans="1:28" ht="14" x14ac:dyDescent="0.15">
      <c r="A84" s="21" t="s">
        <v>194</v>
      </c>
      <c r="B84" s="22" t="s">
        <v>195</v>
      </c>
      <c r="C84" s="23" t="str">
        <f ca="1">IFERROR(__xludf.DUMMYFUNCTION("GOOGLETRANSLATE(B84, ""en"", ""fr"")"),"Changer de nom")</f>
        <v>Changer de nom</v>
      </c>
      <c r="D84" s="23" t="str">
        <f ca="1">IFERROR(__xludf.DUMMYFUNCTION("GOOGLETRANSLATE(B84, ""en"", ""es"")"),"Cambiar nombre")</f>
        <v>Cambiar nombre</v>
      </c>
      <c r="E84" s="23" t="str">
        <f ca="1">IFERROR(__xludf.DUMMYFUNCTION("GOOGLETRANSLATE(B84, ""en"", ""ru"")"),"Изменить имя")</f>
        <v>Изменить имя</v>
      </c>
      <c r="F84" s="23" t="str">
        <f ca="1">IFERROR(__xludf.DUMMYFUNCTION("GOOGLETRANSLATE(B84, ""en"", ""tr"")"),"İsmini değiştir")</f>
        <v>İsmini değiştir</v>
      </c>
      <c r="G84" s="23" t="str">
        <f ca="1">IFERROR(__xludf.DUMMYFUNCTION("GOOGLETRANSLATE(B84, ""en"", ""pt"")"),"Mude o nome")</f>
        <v>Mude o nome</v>
      </c>
      <c r="H84" s="24" t="str">
        <f ca="1">IFERROR(__xludf.DUMMYFUNCTION("GOOGLETRANSLATE(B84, ""en"", ""de"")"),"Namen ändern")</f>
        <v>Namen ändern</v>
      </c>
      <c r="I84" s="23" t="str">
        <f ca="1">IFERROR(__xludf.DUMMYFUNCTION("GOOGLETRANSLATE(B84, ""en"", ""pl"")"),"Zmień nazwę")</f>
        <v>Zmień nazwę</v>
      </c>
      <c r="J84" s="25" t="str">
        <f ca="1">IFERROR(__xludf.DUMMYFUNCTION("GOOGLETRANSLATE(B84, ""en"", ""zh"")"),"更换名字")</f>
        <v>更换名字</v>
      </c>
      <c r="K84" s="25" t="str">
        <f ca="1">IFERROR(__xludf.DUMMYFUNCTION("GOOGLETRANSLATE(B84, ""en"", ""vi"")"),"Đổi tên")</f>
        <v>Đổi tên</v>
      </c>
      <c r="L84" s="26" t="str">
        <f ca="1">IFERROR(__xludf.DUMMYFUNCTION("GOOGLETRANSLATE(B84, ""en"", ""hr"")"),"Imena")</f>
        <v>Imena</v>
      </c>
      <c r="M84" s="28"/>
      <c r="N84" s="28"/>
      <c r="O84" s="28"/>
      <c r="P84" s="28"/>
      <c r="Q84" s="28"/>
      <c r="R84" s="28"/>
      <c r="S84" s="28"/>
      <c r="T84" s="28"/>
      <c r="U84" s="28"/>
      <c r="V84" s="28"/>
      <c r="W84" s="28"/>
      <c r="X84" s="28"/>
      <c r="Y84" s="28"/>
      <c r="Z84" s="28"/>
      <c r="AA84" s="28"/>
      <c r="AB84" s="28"/>
    </row>
    <row r="85" spans="1:28" ht="14" x14ac:dyDescent="0.15">
      <c r="A85" s="21" t="s">
        <v>196</v>
      </c>
      <c r="B85" s="22" t="s">
        <v>196</v>
      </c>
      <c r="C85" s="23" t="str">
        <f ca="1">IFERROR(__xludf.DUMMYFUNCTION("GOOGLETRANSLATE(B85, ""en"", ""fr"")"),"Mot de passe actuel")</f>
        <v>Mot de passe actuel</v>
      </c>
      <c r="D85" s="23" t="str">
        <f ca="1">IFERROR(__xludf.DUMMYFUNCTION("GOOGLETRANSLATE(B85, ""en"", ""es"")"),"Contraseña actual")</f>
        <v>Contraseña actual</v>
      </c>
      <c r="E85" s="23" t="str">
        <f ca="1">IFERROR(__xludf.DUMMYFUNCTION("GOOGLETRANSLATE(B85, ""en"", ""ru"")"),"Текущий пароль")</f>
        <v>Текущий пароль</v>
      </c>
      <c r="F85" s="23" t="str">
        <f ca="1">IFERROR(__xludf.DUMMYFUNCTION("GOOGLETRANSLATE(B85, ""en"", ""tr"")"),"Şimdiki Şifre")</f>
        <v>Şimdiki Şifre</v>
      </c>
      <c r="G85" s="23" t="str">
        <f ca="1">IFERROR(__xludf.DUMMYFUNCTION("GOOGLETRANSLATE(B85, ""en"", ""pt"")"),"Senha atual")</f>
        <v>Senha atual</v>
      </c>
      <c r="H85" s="24" t="str">
        <f ca="1">IFERROR(__xludf.DUMMYFUNCTION("GOOGLETRANSLATE(B85, ""en"", ""de"")"),"Aktuelles Passwort")</f>
        <v>Aktuelles Passwort</v>
      </c>
      <c r="I85" s="23" t="str">
        <f ca="1">IFERROR(__xludf.DUMMYFUNCTION("GOOGLETRANSLATE(B85, ""en"", ""pl"")"),"Aktualne hasło")</f>
        <v>Aktualne hasło</v>
      </c>
      <c r="J85" s="25" t="str">
        <f ca="1">IFERROR(__xludf.DUMMYFUNCTION("GOOGLETRANSLATE(B85, ""en"", ""zh"")"),"当前密码")</f>
        <v>当前密码</v>
      </c>
      <c r="K85" s="25" t="str">
        <f ca="1">IFERROR(__xludf.DUMMYFUNCTION("GOOGLETRANSLATE(B85, ""en"", ""vi"")"),"Mật khẩu hiện tại")</f>
        <v>Mật khẩu hiện tại</v>
      </c>
      <c r="L85" s="26" t="str">
        <f ca="1">IFERROR(__xludf.DUMMYFUNCTION("GOOGLETRANSLATE(B85, ""en"", ""hr"")"),"Trenutna lozinka")</f>
        <v>Trenutna lozinka</v>
      </c>
      <c r="M85" s="28"/>
      <c r="N85" s="28"/>
      <c r="O85" s="28"/>
      <c r="P85" s="28"/>
      <c r="Q85" s="28"/>
      <c r="R85" s="28"/>
      <c r="S85" s="28"/>
      <c r="T85" s="28"/>
      <c r="U85" s="28"/>
      <c r="V85" s="28"/>
      <c r="W85" s="28"/>
      <c r="X85" s="28"/>
      <c r="Y85" s="28"/>
      <c r="Z85" s="28"/>
      <c r="AA85" s="28"/>
      <c r="AB85" s="28"/>
    </row>
    <row r="86" spans="1:28" ht="14" x14ac:dyDescent="0.15">
      <c r="A86" s="21" t="s">
        <v>197</v>
      </c>
      <c r="B86" s="22" t="s">
        <v>197</v>
      </c>
      <c r="C86" s="23" t="str">
        <f ca="1">IFERROR(__xludf.DUMMYFUNCTION("GOOGLETRANSLATE(B86, ""en"", ""fr"")"),"Nouveau mot de passe")</f>
        <v>Nouveau mot de passe</v>
      </c>
      <c r="D86" s="23" t="str">
        <f ca="1">IFERROR(__xludf.DUMMYFUNCTION("GOOGLETRANSLATE(B86, ""en"", ""es"")"),"Nueva contraseña")</f>
        <v>Nueva contraseña</v>
      </c>
      <c r="E86" s="23" t="str">
        <f ca="1">IFERROR(__xludf.DUMMYFUNCTION("GOOGLETRANSLATE(B86, ""en"", ""ru"")"),"Новый пароль")</f>
        <v>Новый пароль</v>
      </c>
      <c r="F86" s="23" t="str">
        <f ca="1">IFERROR(__xludf.DUMMYFUNCTION("GOOGLETRANSLATE(B86, ""en"", ""tr"")"),"Yeni Şifre")</f>
        <v>Yeni Şifre</v>
      </c>
      <c r="G86" s="23" t="str">
        <f ca="1">IFERROR(__xludf.DUMMYFUNCTION("GOOGLETRANSLATE(B86, ""en"", ""pt"")"),"Nova Senha")</f>
        <v>Nova Senha</v>
      </c>
      <c r="H86" s="24" t="str">
        <f ca="1">IFERROR(__xludf.DUMMYFUNCTION("GOOGLETRANSLATE(B86, ""en"", ""de"")"),"Neues Kennwort")</f>
        <v>Neues Kennwort</v>
      </c>
      <c r="I86" s="23" t="str">
        <f ca="1">IFERROR(__xludf.DUMMYFUNCTION("GOOGLETRANSLATE(B86, ""en"", ""pl"")"),"Nowe hasło")</f>
        <v>Nowe hasło</v>
      </c>
      <c r="J86" s="25" t="str">
        <f ca="1">IFERROR(__xludf.DUMMYFUNCTION("GOOGLETRANSLATE(B86, ""en"", ""zh"")"),"新密码")</f>
        <v>新密码</v>
      </c>
      <c r="K86" s="25" t="str">
        <f ca="1">IFERROR(__xludf.DUMMYFUNCTION("GOOGLETRANSLATE(B86, ""en"", ""vi"")"),"Mật khẩu mới")</f>
        <v>Mật khẩu mới</v>
      </c>
      <c r="L86" s="26" t="str">
        <f ca="1">IFERROR(__xludf.DUMMYFUNCTION("GOOGLETRANSLATE(B86, ""en"", ""hr"")"),"Nova lozinka")</f>
        <v>Nova lozinka</v>
      </c>
      <c r="M86" s="28"/>
      <c r="N86" s="28"/>
      <c r="O86" s="28"/>
      <c r="P86" s="28"/>
      <c r="Q86" s="28"/>
      <c r="R86" s="28"/>
      <c r="S86" s="28"/>
      <c r="T86" s="28"/>
      <c r="U86" s="28"/>
      <c r="V86" s="28"/>
      <c r="W86" s="28"/>
      <c r="X86" s="28"/>
      <c r="Y86" s="28"/>
      <c r="Z86" s="28"/>
      <c r="AA86" s="28"/>
      <c r="AB86" s="28"/>
    </row>
    <row r="87" spans="1:28" ht="28" x14ac:dyDescent="0.15">
      <c r="A87" s="21" t="s">
        <v>198</v>
      </c>
      <c r="B87" s="22" t="s">
        <v>198</v>
      </c>
      <c r="C87" s="23" t="s">
        <v>199</v>
      </c>
      <c r="D87" s="23" t="str">
        <f ca="1">IFERROR(__xludf.DUMMYFUNCTION("GOOGLETRANSLATE(B87, ""en"", ""es"")"),"Contraseña actual incorrecta")</f>
        <v>Contraseña actual incorrecta</v>
      </c>
      <c r="E87" s="23" t="str">
        <f ca="1">IFERROR(__xludf.DUMMYFUNCTION("GOOGLETRANSLATE(B87, ""en"", ""ru"")"),"Неверный текущий пароль")</f>
        <v>Неверный текущий пароль</v>
      </c>
      <c r="F87" s="23" t="str">
        <f ca="1">IFERROR(__xludf.DUMMYFUNCTION("GOOGLETRANSLATE(B87, ""en"", ""tr"")"),"Yanlış güncel şifre")</f>
        <v>Yanlış güncel şifre</v>
      </c>
      <c r="G87" s="23" t="str">
        <f ca="1">IFERROR(__xludf.DUMMYFUNCTION("GOOGLETRANSLATE(B87, ""en"", ""pt"")"),"Senha atual incorreta")</f>
        <v>Senha atual incorreta</v>
      </c>
      <c r="H87" s="24" t="str">
        <f ca="1">IFERROR(__xludf.DUMMYFUNCTION("GOOGLETRANSLATE(B87, ""en"", ""de"")"),"Falsches aktuelles Passwort.")</f>
        <v>Falsches aktuelles Passwort.</v>
      </c>
      <c r="I87" s="23" t="str">
        <f ca="1">IFERROR(__xludf.DUMMYFUNCTION("GOOGLETRANSLATE(B87, ""en"", ""pl"")"),"Nieprawidłowe bieżące hasło")</f>
        <v>Nieprawidłowe bieżące hasło</v>
      </c>
      <c r="J87" s="25" t="str">
        <f ca="1">IFERROR(__xludf.DUMMYFUNCTION("GOOGLETRANSLATE(B87, ""en"", ""zh"")"),"当前密码不正确")</f>
        <v>当前密码不正确</v>
      </c>
      <c r="K87" s="25" t="str">
        <f ca="1">IFERROR(__xludf.DUMMYFUNCTION("GOOGLETRANSLATE(B87, ""en"", ""vi"")"),"Mật khẩu hiện tại không chính xác")</f>
        <v>Mật khẩu hiện tại không chính xác</v>
      </c>
      <c r="L87" s="26" t="str">
        <f ca="1">IFERROR(__xludf.DUMMYFUNCTION("GOOGLETRANSLATE(B87, ""en"", ""hr"")"),"Netočna trenutna lozinka")</f>
        <v>Netočna trenutna lozinka</v>
      </c>
      <c r="M87" s="28"/>
      <c r="N87" s="28"/>
      <c r="O87" s="28"/>
      <c r="P87" s="28"/>
      <c r="Q87" s="28"/>
      <c r="R87" s="28"/>
      <c r="S87" s="28"/>
      <c r="T87" s="28"/>
      <c r="U87" s="28"/>
      <c r="V87" s="28"/>
      <c r="W87" s="28"/>
      <c r="X87" s="28"/>
      <c r="Y87" s="28"/>
      <c r="Z87" s="28"/>
      <c r="AA87" s="28"/>
      <c r="AB87" s="28"/>
    </row>
    <row r="88" spans="1:28" ht="28" x14ac:dyDescent="0.15">
      <c r="A88" s="21" t="s">
        <v>200</v>
      </c>
      <c r="B88" s="22" t="s">
        <v>200</v>
      </c>
      <c r="C88" s="23" t="str">
        <f ca="1">IFERROR(__xludf.DUMMYFUNCTION("GOOGLETRANSLATE(B88, ""en"", ""fr"")"),"Mot de passe changé")</f>
        <v>Mot de passe changé</v>
      </c>
      <c r="D88" s="23" t="str">
        <f ca="1">IFERROR(__xludf.DUMMYFUNCTION("GOOGLETRANSLATE(B88, ""en"", ""es"")"),"contraseña cambiada")</f>
        <v>contraseña cambiada</v>
      </c>
      <c r="E88" s="23" t="str">
        <f ca="1">IFERROR(__xludf.DUMMYFUNCTION("GOOGLETRANSLATE(B88, ""en"", ""ru"")"),"пароль изменен")</f>
        <v>пароль изменен</v>
      </c>
      <c r="F88" s="23" t="str">
        <f ca="1">IFERROR(__xludf.DUMMYFUNCTION("GOOGLETRANSLATE(B88, ""en"", ""tr"")"),"şifre değişti")</f>
        <v>şifre değişti</v>
      </c>
      <c r="G88" s="23" t="str">
        <f ca="1">IFERROR(__xludf.DUMMYFUNCTION("GOOGLETRANSLATE(B88, ""en"", ""pt"")"),"Senha alterada")</f>
        <v>Senha alterada</v>
      </c>
      <c r="H88" s="24" t="str">
        <f ca="1">IFERROR(__xludf.DUMMYFUNCTION("GOOGLETRANSLATE(B88, ""en"", ""de"")"),"Passwort geändert")</f>
        <v>Passwort geändert</v>
      </c>
      <c r="I88" s="23" t="str">
        <f ca="1">IFERROR(__xludf.DUMMYFUNCTION("GOOGLETRANSLATE(B88, ""en"", ""pl"")"),"Hasło zostało zmienione")</f>
        <v>Hasło zostało zmienione</v>
      </c>
      <c r="J88" s="25" t="str">
        <f ca="1">IFERROR(__xludf.DUMMYFUNCTION("GOOGLETRANSLATE(B88, ""en"", ""zh"")"),"密码已更改")</f>
        <v>密码已更改</v>
      </c>
      <c r="K88" s="25" t="str">
        <f ca="1">IFERROR(__xludf.DUMMYFUNCTION("GOOGLETRANSLATE(B88, ""en"", ""vi"")"),"mật khẩu đã được thay đổi")</f>
        <v>mật khẩu đã được thay đổi</v>
      </c>
      <c r="L88" s="26" t="str">
        <f ca="1">IFERROR(__xludf.DUMMYFUNCTION("GOOGLETRANSLATE(B88, ""en"", ""hr"")"),"Lozinka se promijenila")</f>
        <v>Lozinka se promijenila</v>
      </c>
      <c r="M88" s="28"/>
      <c r="N88" s="28"/>
      <c r="O88" s="28"/>
      <c r="P88" s="28"/>
      <c r="Q88" s="28"/>
      <c r="R88" s="28"/>
      <c r="S88" s="28"/>
      <c r="T88" s="28"/>
      <c r="U88" s="28"/>
      <c r="V88" s="28"/>
      <c r="W88" s="28"/>
      <c r="X88" s="28"/>
      <c r="Y88" s="28"/>
      <c r="Z88" s="28"/>
      <c r="AA88" s="28"/>
      <c r="AB88" s="28"/>
    </row>
    <row r="89" spans="1:28" ht="28" x14ac:dyDescent="0.15">
      <c r="A89" s="21" t="s">
        <v>201</v>
      </c>
      <c r="B89" s="22" t="s">
        <v>201</v>
      </c>
      <c r="C89" s="23" t="str">
        <f ca="1">IFERROR(__xludf.DUMMYFUNCTION("GOOGLETRANSLATE(B89, ""en"", ""fr"")"),"Nom du personnage actuel")</f>
        <v>Nom du personnage actuel</v>
      </c>
      <c r="D89" s="23" t="str">
        <f ca="1">IFERROR(__xludf.DUMMYFUNCTION("GOOGLETRANSLATE(B89, ""en"", ""es"")"),"Nombre del personaje actual")</f>
        <v>Nombre del personaje actual</v>
      </c>
      <c r="E89" s="23" t="str">
        <f ca="1">IFERROR(__xludf.DUMMYFUNCTION("GOOGLETRANSLATE(B89, ""en"", ""ru"")"),"Текущее имя персонажа")</f>
        <v>Текущее имя персонажа</v>
      </c>
      <c r="F89" s="23" t="str">
        <f ca="1">IFERROR(__xludf.DUMMYFUNCTION("GOOGLETRANSLATE(B89, ""en"", ""tr"")"),"Geçerli karakter adı")</f>
        <v>Geçerli karakter adı</v>
      </c>
      <c r="G89" s="23" t="str">
        <f ca="1">IFERROR(__xludf.DUMMYFUNCTION("GOOGLETRANSLATE(B89, ""en"", ""pt"")"),"Nome do personagem atual")</f>
        <v>Nome do personagem atual</v>
      </c>
      <c r="H89" s="24" t="str">
        <f ca="1">IFERROR(__xludf.DUMMYFUNCTION("GOOGLETRANSLATE(B89, ""en"", ""de"")"),"Aktueller Zeichenname")</f>
        <v>Aktueller Zeichenname</v>
      </c>
      <c r="I89" s="23" t="str">
        <f ca="1">IFERROR(__xludf.DUMMYFUNCTION("GOOGLETRANSLATE(B89, ""en"", ""pl"")"),"Nazwa bieżącej znaku.")</f>
        <v>Nazwa bieżącej znaku.</v>
      </c>
      <c r="J89" s="25" t="str">
        <f ca="1">IFERROR(__xludf.DUMMYFUNCTION("GOOGLETRANSLATE(B89, ""en"", ""zh"")"),"当前字符名称")</f>
        <v>当前字符名称</v>
      </c>
      <c r="K89" s="25" t="str">
        <f ca="1">IFERROR(__xludf.DUMMYFUNCTION("GOOGLETRANSLATE(B89, ""en"", ""vi"")"),"Tên nhân vật hiện tại")</f>
        <v>Tên nhân vật hiện tại</v>
      </c>
      <c r="L89" s="26" t="str">
        <f ca="1">IFERROR(__xludf.DUMMYFUNCTION("GOOGLETRANSLATE(B89, ""en"", ""hr"")"),"Trenutno ime znakova")</f>
        <v>Trenutno ime znakova</v>
      </c>
      <c r="M89" s="28"/>
      <c r="N89" s="28"/>
      <c r="O89" s="28"/>
      <c r="P89" s="28"/>
      <c r="Q89" s="28"/>
      <c r="R89" s="28"/>
      <c r="S89" s="28"/>
      <c r="T89" s="28"/>
      <c r="U89" s="28"/>
      <c r="V89" s="28"/>
      <c r="W89" s="28"/>
      <c r="X89" s="28"/>
      <c r="Y89" s="28"/>
      <c r="Z89" s="28"/>
      <c r="AA89" s="28"/>
      <c r="AB89" s="28"/>
    </row>
    <row r="90" spans="1:28" ht="28" x14ac:dyDescent="0.15">
      <c r="A90" s="21" t="s">
        <v>202</v>
      </c>
      <c r="B90" s="22" t="s">
        <v>202</v>
      </c>
      <c r="C90" s="23" t="str">
        <f ca="1">IFERROR(__xludf.DUMMYFUNCTION("GOOGLETRANSLATE(B90, ""en"", ""fr"")"),"Nom du nouveau personnage")</f>
        <v>Nom du nouveau personnage</v>
      </c>
      <c r="D90" s="23" t="str">
        <f ca="1">IFERROR(__xludf.DUMMYFUNCTION("GOOGLETRANSLATE(B90, ""en"", ""es"")"),"Nuevo nombre de personaje")</f>
        <v>Nuevo nombre de personaje</v>
      </c>
      <c r="E90" s="23" t="str">
        <f ca="1">IFERROR(__xludf.DUMMYFUNCTION("GOOGLETRANSLATE(B90, ""en"", ""ru"")"),"Новое имя персонажа")</f>
        <v>Новое имя персонажа</v>
      </c>
      <c r="F90" s="23" t="str">
        <f ca="1">IFERROR(__xludf.DUMMYFUNCTION("GOOGLETRANSLATE(B90, ""en"", ""tr"")"),"Yeni karakter adı")</f>
        <v>Yeni karakter adı</v>
      </c>
      <c r="G90" s="23" t="str">
        <f ca="1">IFERROR(__xludf.DUMMYFUNCTION("GOOGLETRANSLATE(B90, ""en"", ""pt"")"),"Nome do novo personagem")</f>
        <v>Nome do novo personagem</v>
      </c>
      <c r="H90" s="24" t="str">
        <f ca="1">IFERROR(__xludf.DUMMYFUNCTION("GOOGLETRANSLATE(B90, ""en"", ""de"")"),"Neuer Zeichenname")</f>
        <v>Neuer Zeichenname</v>
      </c>
      <c r="I90" s="23" t="str">
        <f ca="1">IFERROR(__xludf.DUMMYFUNCTION("GOOGLETRANSLATE(B90, ""en"", ""pl"")"),"Nowa nazwa znaku.")</f>
        <v>Nowa nazwa znaku.</v>
      </c>
      <c r="J90" s="25" t="str">
        <f ca="1">IFERROR(__xludf.DUMMYFUNCTION("GOOGLETRANSLATE(B90, ""en"", ""zh"")"),"新字符名称")</f>
        <v>新字符名称</v>
      </c>
      <c r="K90" s="25" t="str">
        <f ca="1">IFERROR(__xludf.DUMMYFUNCTION("GOOGLETRANSLATE(B90, ""en"", ""vi"")"),"Tên nhân vật mới.")</f>
        <v>Tên nhân vật mới.</v>
      </c>
      <c r="L90" s="26" t="str">
        <f ca="1">IFERROR(__xludf.DUMMYFUNCTION("GOOGLETRANSLATE(B90, ""en"", ""hr"")"),"Novi naziv znaka")</f>
        <v>Novi naziv znaka</v>
      </c>
      <c r="M90" s="28"/>
      <c r="N90" s="28"/>
      <c r="O90" s="28"/>
      <c r="P90" s="28"/>
      <c r="Q90" s="28"/>
      <c r="R90" s="28"/>
      <c r="S90" s="28"/>
      <c r="T90" s="28"/>
      <c r="U90" s="28"/>
      <c r="V90" s="28"/>
      <c r="W90" s="28"/>
      <c r="X90" s="28"/>
      <c r="Y90" s="28"/>
      <c r="Z90" s="28"/>
      <c r="AA90" s="28"/>
      <c r="AB90" s="28"/>
    </row>
    <row r="91" spans="1:28" ht="28" x14ac:dyDescent="0.15">
      <c r="A91" s="21" t="s">
        <v>203</v>
      </c>
      <c r="B91" s="22" t="s">
        <v>204</v>
      </c>
      <c r="C91" s="23" t="str">
        <f ca="1">IFERROR(__xludf.DUMMYFUNCTION("GOOGLETRANSLATE(B91, ""en"", ""fr"")"),"Nouveau nom requis.")</f>
        <v>Nouveau nom requis.</v>
      </c>
      <c r="D91" s="23" t="str">
        <f ca="1">IFERROR(__xludf.DUMMYFUNCTION("GOOGLETRANSLATE(B91, ""en"", ""es"")"),"NUEVO NOMBRE REQUERIDO.")</f>
        <v>NUEVO NOMBRE REQUERIDO.</v>
      </c>
      <c r="E91" s="23" t="str">
        <f ca="1">IFERROR(__xludf.DUMMYFUNCTION("GOOGLETRANSLATE(B91, ""en"", ""ru"")"),"Требуется новое имя.")</f>
        <v>Требуется новое имя.</v>
      </c>
      <c r="F91" s="23" t="str">
        <f ca="1">IFERROR(__xludf.DUMMYFUNCTION("GOOGLETRANSLATE(B91, ""en"", ""tr"")"),"Yeni isim gerekli.")</f>
        <v>Yeni isim gerekli.</v>
      </c>
      <c r="G91" s="23" t="str">
        <f ca="1">IFERROR(__xludf.DUMMYFUNCTION("GOOGLETRANSLATE(B91, ""en"", ""pt"")"),"Novo nome necessário.")</f>
        <v>Novo nome necessário.</v>
      </c>
      <c r="H91" s="24" t="str">
        <f ca="1">IFERROR(__xludf.DUMMYFUNCTION("GOOGLETRANSLATE(B91, ""en"", ""de"")"),"Neuer Name erforderlich.")</f>
        <v>Neuer Name erforderlich.</v>
      </c>
      <c r="I91" s="23" t="str">
        <f ca="1">IFERROR(__xludf.DUMMYFUNCTION("GOOGLETRANSLATE(B91, ""en"", ""pl"")"),"Wymagana nowa nazwa.")</f>
        <v>Wymagana nowa nazwa.</v>
      </c>
      <c r="J91" s="25" t="str">
        <f ca="1">IFERROR(__xludf.DUMMYFUNCTION("GOOGLETRANSLATE(B91, ""en"", ""zh"")"),"需要新名称。")</f>
        <v>需要新名称。</v>
      </c>
      <c r="K91" s="25" t="str">
        <f ca="1">IFERROR(__xludf.DUMMYFUNCTION("GOOGLETRANSLATE(B91, ""en"", ""vi"")"),"Tên mới cần thiết.")</f>
        <v>Tên mới cần thiết.</v>
      </c>
      <c r="L91" s="26" t="str">
        <f ca="1">IFERROR(__xludf.DUMMYFUNCTION("GOOGLETRANSLATE(B91, ""en"", ""hr"")"),"Potrebno je novo ime.")</f>
        <v>Potrebno je novo ime.</v>
      </c>
      <c r="M91" s="28"/>
      <c r="N91" s="28"/>
      <c r="O91" s="28"/>
      <c r="P91" s="28"/>
      <c r="Q91" s="28"/>
      <c r="R91" s="28"/>
      <c r="S91" s="28"/>
      <c r="T91" s="28"/>
      <c r="U91" s="28"/>
      <c r="V91" s="28"/>
      <c r="W91" s="28"/>
      <c r="X91" s="28"/>
      <c r="Y91" s="28"/>
      <c r="Z91" s="28"/>
      <c r="AA91" s="28"/>
      <c r="AB91" s="28"/>
    </row>
    <row r="92" spans="1:28" ht="42" x14ac:dyDescent="0.15">
      <c r="A92" s="21" t="s">
        <v>205</v>
      </c>
      <c r="B92" s="22" t="s">
        <v>206</v>
      </c>
      <c r="C92" s="23" t="s">
        <v>207</v>
      </c>
      <c r="D92" s="23" t="str">
        <f ca="1">IFERROR(__xludf.DUMMYFUNCTION("GOOGLETRANSLATE(B92, ""en"", ""es"")"),"El nuevo nombre debe ser diferente al nombre de la corriente.")</f>
        <v>El nuevo nombre debe ser diferente al nombre de la corriente.</v>
      </c>
      <c r="E92" s="23" t="str">
        <f ca="1">IFERROR(__xludf.DUMMYFUNCTION("GOOGLETRANSLATE(B92, ""en"", ""ru"")"),"Новое имя должно отличаться от текущего имени.")</f>
        <v>Новое имя должно отличаться от текущего имени.</v>
      </c>
      <c r="F92" s="23" t="str">
        <f ca="1">IFERROR(__xludf.DUMMYFUNCTION("GOOGLETRANSLATE(B92, ""en"", ""tr"")"),"Yeni ad, geçerli addan farklı olmalıdır.")</f>
        <v>Yeni ad, geçerli addan farklı olmalıdır.</v>
      </c>
      <c r="G92" s="23" t="str">
        <f ca="1">IFERROR(__xludf.DUMMYFUNCTION("GOOGLETRANSLATE(B92, ""en"", ""pt"")"),"Novo nome deve ser diferente do nome atual.")</f>
        <v>Novo nome deve ser diferente do nome atual.</v>
      </c>
      <c r="H92" s="24" t="str">
        <f ca="1">IFERROR(__xludf.DUMMYFUNCTION("GOOGLETRANSLATE(B92, ""en"", ""de"")"),"Der neue Name muss anders sein als der aktuelle Name.")</f>
        <v>Der neue Name muss anders sein als der aktuelle Name.</v>
      </c>
      <c r="I92" s="23" t="str">
        <f ca="1">IFERROR(__xludf.DUMMYFUNCTION("GOOGLETRANSLATE(B92, ""en"", ""pl"")"),"Nowa nazwa musi być inna niż obecna nazwa.")</f>
        <v>Nowa nazwa musi być inna niż obecna nazwa.</v>
      </c>
      <c r="J92" s="25" t="str">
        <f ca="1">IFERROR(__xludf.DUMMYFUNCTION("GOOGLETRANSLATE(B92, ""en"", ""zh"")"),"新名称必须与当前名称不同。")</f>
        <v>新名称必须与当前名称不同。</v>
      </c>
      <c r="K92" s="25" t="str">
        <f ca="1">IFERROR(__xludf.DUMMYFUNCTION("GOOGLETRANSLATE(B92, ""en"", ""vi"")"),"Tên mới phải khác với tên hiện tại.")</f>
        <v>Tên mới phải khác với tên hiện tại.</v>
      </c>
      <c r="L92" s="26" t="str">
        <f ca="1">IFERROR(__xludf.DUMMYFUNCTION("GOOGLETRANSLATE(B92, ""en"", ""hr"")"),"Novo ime mora biti drugačije od trenutnog imena.")</f>
        <v>Novo ime mora biti drugačije od trenutnog imena.</v>
      </c>
      <c r="M92" s="28"/>
      <c r="N92" s="28"/>
      <c r="O92" s="28"/>
      <c r="P92" s="28"/>
      <c r="Q92" s="28"/>
      <c r="R92" s="28"/>
      <c r="S92" s="28"/>
      <c r="T92" s="28"/>
      <c r="U92" s="28"/>
      <c r="V92" s="28"/>
      <c r="W92" s="28"/>
      <c r="X92" s="28"/>
      <c r="Y92" s="28"/>
      <c r="Z92" s="28"/>
      <c r="AA92" s="28"/>
      <c r="AB92" s="28"/>
    </row>
    <row r="93" spans="1:28" ht="28" x14ac:dyDescent="0.15">
      <c r="A93" s="21" t="s">
        <v>208</v>
      </c>
      <c r="B93" s="22" t="s">
        <v>209</v>
      </c>
      <c r="C93" s="23" t="s">
        <v>210</v>
      </c>
      <c r="D93" s="23" t="str">
        <f ca="1">IFERROR(__xludf.DUMMYFUNCTION("GOOGLETRANSLATE(B93, ""en"", ""es"")"),"Nombre del personaje cambiado.")</f>
        <v>Nombre del personaje cambiado.</v>
      </c>
      <c r="E93" s="23" t="str">
        <f ca="1">IFERROR(__xludf.DUMMYFUNCTION("GOOGLETRANSLATE(B93, ""en"", ""ru"")"),"Имя персонажа изменилось.")</f>
        <v>Имя персонажа изменилось.</v>
      </c>
      <c r="F93" s="23" t="str">
        <f ca="1">IFERROR(__xludf.DUMMYFUNCTION("GOOGLETRANSLATE(B93, ""en"", ""tr"")"),"Karakter adı değişti.")</f>
        <v>Karakter adı değişti.</v>
      </c>
      <c r="G93" s="23" t="str">
        <f ca="1">IFERROR(__xludf.DUMMYFUNCTION("GOOGLETRANSLATE(B93, ""en"", ""pt"")"),"Nome do personagem alterado.")</f>
        <v>Nome do personagem alterado.</v>
      </c>
      <c r="H93" s="24" t="str">
        <f ca="1">IFERROR(__xludf.DUMMYFUNCTION("GOOGLETRANSLATE(B93, ""en"", ""de"")"),"Zeichenname wurde geändert.")</f>
        <v>Zeichenname wurde geändert.</v>
      </c>
      <c r="I93" s="23" t="str">
        <f ca="1">IFERROR(__xludf.DUMMYFUNCTION("GOOGLETRANSLATE(B93, ""en"", ""pl"")"),"Zmieniono nazwę znaku.")</f>
        <v>Zmieniono nazwę znaku.</v>
      </c>
      <c r="J93" s="25" t="str">
        <f ca="1">IFERROR(__xludf.DUMMYFUNCTION("GOOGLETRANSLATE(B93, ""en"", ""zh"")"),"字符名称已更改。")</f>
        <v>字符名称已更改。</v>
      </c>
      <c r="K93" s="25" t="str">
        <f ca="1">IFERROR(__xludf.DUMMYFUNCTION("GOOGLETRANSLATE(B93, ""en"", ""vi"")"),"Tên nhân vật đã thay đổi.")</f>
        <v>Tên nhân vật đã thay đổi.</v>
      </c>
      <c r="L93" s="26" t="str">
        <f ca="1">IFERROR(__xludf.DUMMYFUNCTION("GOOGLETRANSLATE(B93, ""en"", ""hr"")"),"Ime znakova promijenio.")</f>
        <v>Ime znakova promijenio.</v>
      </c>
      <c r="M93" s="28"/>
      <c r="N93" s="28"/>
      <c r="O93" s="28"/>
      <c r="P93" s="28"/>
      <c r="Q93" s="28"/>
      <c r="R93" s="28"/>
      <c r="S93" s="28"/>
      <c r="T93" s="28"/>
      <c r="U93" s="28"/>
      <c r="V93" s="28"/>
      <c r="W93" s="28"/>
      <c r="X93" s="28"/>
      <c r="Y93" s="28"/>
      <c r="Z93" s="28"/>
      <c r="AA93" s="28"/>
      <c r="AB93" s="28"/>
    </row>
    <row r="94" spans="1:28" ht="28" x14ac:dyDescent="0.15">
      <c r="A94" s="21" t="s">
        <v>211</v>
      </c>
      <c r="B94" s="22" t="s">
        <v>212</v>
      </c>
      <c r="C94" s="23" t="str">
        <f ca="1">IFERROR(__xludf.DUMMYFUNCTION("GOOGLETRANSLATE(B94, ""en"", ""fr"")"),"Acheter des articles")</f>
        <v>Acheter des articles</v>
      </c>
      <c r="D94" s="23" t="str">
        <f ca="1">IFERROR(__xludf.DUMMYFUNCTION("GOOGLETRANSLATE(B94, ""en"", ""es"")"),"Artículos de compra")</f>
        <v>Artículos de compra</v>
      </c>
      <c r="E94" s="23" t="str">
        <f ca="1">IFERROR(__xludf.DUMMYFUNCTION("GOOGLETRANSLATE(B94, ""en"", ""ru"")"),"Покупка предметов")</f>
        <v>Покупка предметов</v>
      </c>
      <c r="F94" s="23" t="str">
        <f ca="1">IFERROR(__xludf.DUMMYFUNCTION("GOOGLETRANSLATE(B94, ""en"", ""tr"")"),"Ürün satın alma")</f>
        <v>Ürün satın alma</v>
      </c>
      <c r="G94" s="23" t="str">
        <f ca="1">IFERROR(__xludf.DUMMYFUNCTION("GOOGLETRANSLATE(B94, ""en"", ""pt"")"),"Comprando itens")</f>
        <v>Comprando itens</v>
      </c>
      <c r="H94" s="24" t="str">
        <f ca="1">IFERROR(__xludf.DUMMYFUNCTION("GOOGLETRANSLATE(B94, ""en"", ""de"")"),"Artikel kaufen.")</f>
        <v>Artikel kaufen.</v>
      </c>
      <c r="I94" s="23" t="str">
        <f ca="1">IFERROR(__xludf.DUMMYFUNCTION("GOOGLETRANSLATE(B94, ""en"", ""pl"")"),"Kupowanie przedmiotów")</f>
        <v>Kupowanie przedmiotów</v>
      </c>
      <c r="J94" s="25" t="str">
        <f ca="1">IFERROR(__xludf.DUMMYFUNCTION("GOOGLETRANSLATE(B94, ""en"", ""zh"")"),"购买物品")</f>
        <v>购买物品</v>
      </c>
      <c r="K94" s="25" t="str">
        <f ca="1">IFERROR(__xludf.DUMMYFUNCTION("GOOGLETRANSLATE(B94, ""en"", ""vi"")"),"Mua vật phẩm")</f>
        <v>Mua vật phẩm</v>
      </c>
      <c r="L94" s="26" t="str">
        <f ca="1">IFERROR(__xludf.DUMMYFUNCTION("GOOGLETRANSLATE(B94, ""en"", ""hr"")"),"Kupnja stavki")</f>
        <v>Kupnja stavki</v>
      </c>
      <c r="M94" s="28"/>
      <c r="N94" s="28"/>
      <c r="O94" s="28"/>
      <c r="P94" s="28"/>
      <c r="Q94" s="28"/>
      <c r="R94" s="28"/>
      <c r="S94" s="28"/>
      <c r="T94" s="28"/>
      <c r="U94" s="28"/>
      <c r="V94" s="28"/>
      <c r="W94" s="28"/>
      <c r="X94" s="28"/>
      <c r="Y94" s="28"/>
      <c r="Z94" s="28"/>
      <c r="AA94" s="28"/>
      <c r="AB94" s="28"/>
    </row>
    <row r="95" spans="1:28" ht="14" x14ac:dyDescent="0.15">
      <c r="A95" s="21" t="s">
        <v>213</v>
      </c>
      <c r="B95" s="22" t="s">
        <v>214</v>
      </c>
      <c r="C95" s="23" t="s">
        <v>215</v>
      </c>
      <c r="D95" s="23" t="str">
        <f ca="1">IFERROR(__xludf.DUMMYFUNCTION("GOOGLETRANSLATE(B95, ""en"", ""es"")"),"Reunión")</f>
        <v>Reunión</v>
      </c>
      <c r="E95" s="23" t="str">
        <f ca="1">IFERROR(__xludf.DUMMYFUNCTION("GOOGLETRANSLATE(B95, ""en"", ""ru"")"),"Встреча")</f>
        <v>Встреча</v>
      </c>
      <c r="F95" s="23" t="str">
        <f ca="1">IFERROR(__xludf.DUMMYFUNCTION("GOOGLETRANSLATE(B95, ""en"", ""tr"")"),"Toplanma")</f>
        <v>Toplanma</v>
      </c>
      <c r="G95" s="23" t="str">
        <f ca="1">IFERROR(__xludf.DUMMYFUNCTION("GOOGLETRANSLATE(B95, ""en"", ""pt"")"),"Reunião")</f>
        <v>Reunião</v>
      </c>
      <c r="H95" s="24" t="str">
        <f ca="1">IFERROR(__xludf.DUMMYFUNCTION("GOOGLETRANSLATE(B95, ""en"", ""de"")"),"Sammeln")</f>
        <v>Sammeln</v>
      </c>
      <c r="I95" s="23" t="str">
        <f ca="1">IFERROR(__xludf.DUMMYFUNCTION("GOOGLETRANSLATE(B95, ""en"", ""pl"")"),"Zgromadzenie")</f>
        <v>Zgromadzenie</v>
      </c>
      <c r="J95" s="25" t="str">
        <f ca="1">IFERROR(__xludf.DUMMYFUNCTION("GOOGLETRANSLATE(B95, ""en"", ""zh"")"),"搜集")</f>
        <v>搜集</v>
      </c>
      <c r="K95" s="25" t="str">
        <f ca="1">IFERROR(__xludf.DUMMYFUNCTION("GOOGLETRANSLATE(B95, ""en"", ""vi"")"),"Thu thập")</f>
        <v>Thu thập</v>
      </c>
      <c r="L95" s="26" t="str">
        <f ca="1">IFERROR(__xludf.DUMMYFUNCTION("GOOGLETRANSLATE(B95, ""en"", ""hr"")"),"Prikupljanje")</f>
        <v>Prikupljanje</v>
      </c>
      <c r="M95" s="28"/>
      <c r="N95" s="28"/>
      <c r="O95" s="28"/>
      <c r="P95" s="28"/>
      <c r="Q95" s="28"/>
      <c r="R95" s="28"/>
      <c r="S95" s="28"/>
      <c r="T95" s="28"/>
      <c r="U95" s="28"/>
      <c r="V95" s="28"/>
      <c r="W95" s="28"/>
      <c r="X95" s="28"/>
      <c r="Y95" s="28"/>
      <c r="Z95" s="28"/>
      <c r="AA95" s="28"/>
      <c r="AB95" s="28"/>
    </row>
    <row r="96" spans="1:28" ht="14" x14ac:dyDescent="0.15">
      <c r="A96" s="21" t="s">
        <v>216</v>
      </c>
      <c r="B96" s="22" t="s">
        <v>217</v>
      </c>
      <c r="C96" s="23" t="str">
        <f ca="1">IFERROR(__xludf.DUMMYFUNCTION("GOOGLETRANSLATE(B96, ""en"", ""fr"")"),"Vêtements d'artisanat")</f>
        <v>Vêtements d'artisanat</v>
      </c>
      <c r="D96" s="23" t="str">
        <f ca="1">IFERROR(__xludf.DUMMYFUNCTION("GOOGLETRANSLATE(B96, ""en"", ""es"")"),"Crafting Ropa")</f>
        <v>Crafting Ropa</v>
      </c>
      <c r="E96" s="23" t="str">
        <f ca="1">IFERROR(__xludf.DUMMYFUNCTION("GOOGLETRANSLATE(B96, ""en"", ""ru"")"),"Одежда для крафта")</f>
        <v>Одежда для крафта</v>
      </c>
      <c r="F96" s="23" t="str">
        <f ca="1">IFERROR(__xludf.DUMMYFUNCTION("GOOGLETRANSLATE(B96, ""en"", ""tr"")"),"İşçiliği kıyafetleri")</f>
        <v>İşçiliği kıyafetleri</v>
      </c>
      <c r="G96" s="23" t="str">
        <f ca="1">IFERROR(__xludf.DUMMYFUNCTION("GOOGLETRANSLATE(B96, ""en"", ""pt"")"),"Artesanalmente roupas")</f>
        <v>Artesanalmente roupas</v>
      </c>
      <c r="H96" s="24" t="str">
        <f ca="1">IFERROR(__xludf.DUMMYFUNCTION("GOOGLETRANSLATE(B96, ""en"", ""de"")"),"Kräuselende Kleidung")</f>
        <v>Kräuselende Kleidung</v>
      </c>
      <c r="I96" s="23" t="str">
        <f ca="1">IFERROR(__xludf.DUMMYFUNCTION("GOOGLETRANSLATE(B96, ""en"", ""pl"")"),"Odzież rzemieślnicza")</f>
        <v>Odzież rzemieślnicza</v>
      </c>
      <c r="J96" s="25" t="str">
        <f ca="1">IFERROR(__xludf.DUMMYFUNCTION("GOOGLETRANSLATE(B96, ""en"", ""zh"")"),"制作衣服")</f>
        <v>制作衣服</v>
      </c>
      <c r="K96" s="25" t="str">
        <f ca="1">IFERROR(__xludf.DUMMYFUNCTION("GOOGLETRANSLATE(B96, ""en"", ""vi"")"),"Chế tạo quần áo")</f>
        <v>Chế tạo quần áo</v>
      </c>
      <c r="L96" s="26" t="str">
        <f ca="1">IFERROR(__xludf.DUMMYFUNCTION("GOOGLETRANSLATE(B96, ""en"", ""hr"")"),"Odjeća za izradu")</f>
        <v>Odjeća za izradu</v>
      </c>
      <c r="M96" s="28"/>
      <c r="N96" s="28"/>
      <c r="O96" s="28"/>
      <c r="P96" s="28"/>
      <c r="Q96" s="28"/>
      <c r="R96" s="28"/>
      <c r="S96" s="28"/>
      <c r="T96" s="28"/>
      <c r="U96" s="28"/>
      <c r="V96" s="28"/>
      <c r="W96" s="28"/>
      <c r="X96" s="28"/>
      <c r="Y96" s="28"/>
      <c r="Z96" s="28"/>
      <c r="AA96" s="28"/>
      <c r="AB96" s="28"/>
    </row>
    <row r="97" spans="1:28" ht="28" x14ac:dyDescent="0.15">
      <c r="A97" s="21" t="s">
        <v>218</v>
      </c>
      <c r="B97" s="22" t="s">
        <v>219</v>
      </c>
      <c r="C97" s="23" t="str">
        <f ca="1">IFERROR(__xludf.DUMMYFUNCTION("GOOGLETRANSLATE(B97, ""en"", ""fr"")"),"Crafting Barres métalliques")</f>
        <v>Crafting Barres métalliques</v>
      </c>
      <c r="D97" s="23" t="str">
        <f ca="1">IFERROR(__xludf.DUMMYFUNCTION("GOOGLETRANSLATE(B97, ""en"", ""es"")"),"Elaboración de barras de metal")</f>
        <v>Elaboración de barras de metal</v>
      </c>
      <c r="E97" s="23" t="str">
        <f ca="1">IFERROR(__xludf.DUMMYFUNCTION("GOOGLETRANSLATE(B97, ""en"", ""ru"")"),"Ремесленные металлические бары")</f>
        <v>Ремесленные металлические бары</v>
      </c>
      <c r="F97" s="23" t="str">
        <f ca="1">IFERROR(__xludf.DUMMYFUNCTION("GOOGLETRANSLATE(B97, ""en"", ""tr"")"),"Metal çubuklar işçiliği")</f>
        <v>Metal çubuklar işçiliği</v>
      </c>
      <c r="G97" s="23" t="str">
        <f ca="1">IFERROR(__xludf.DUMMYFUNCTION("GOOGLETRANSLATE(B97, ""en"", ""pt"")"),"Crafting Metal Bars.")</f>
        <v>Crafting Metal Bars.</v>
      </c>
      <c r="H97" s="24" t="str">
        <f ca="1">IFERROR(__xludf.DUMMYFUNCTION("GOOGLETRANSLATE(B97, ""en"", ""de"")"),"Metallstäbe basteln.")</f>
        <v>Metallstäbe basteln.</v>
      </c>
      <c r="I97" s="23" t="str">
        <f ca="1">IFERROR(__xludf.DUMMYFUNCTION("GOOGLETRANSLATE(B97, ""en"", ""pl"")"),"Crafting metalowe pręty")</f>
        <v>Crafting metalowe pręty</v>
      </c>
      <c r="J97" s="25" t="str">
        <f ca="1">IFERROR(__xludf.DUMMYFUNCTION("GOOGLETRANSLATE(B97, ""en"", ""zh"")"),"制作金属棒")</f>
        <v>制作金属棒</v>
      </c>
      <c r="K97" s="25" t="str">
        <f ca="1">IFERROR(__xludf.DUMMYFUNCTION("GOOGLETRANSLATE(B97, ""en"", ""vi"")"),"Crafting Metal Bars.")</f>
        <v>Crafting Metal Bars.</v>
      </c>
      <c r="L97" s="26" t="str">
        <f ca="1">IFERROR(__xludf.DUMMYFUNCTION("GOOGLETRANSLATE(B97, ""en"", ""hr"")"),"Crafting Metal Bars")</f>
        <v>Crafting Metal Bars</v>
      </c>
      <c r="M97" s="28"/>
      <c r="N97" s="28"/>
      <c r="O97" s="28"/>
      <c r="P97" s="28"/>
      <c r="Q97" s="28"/>
      <c r="R97" s="28"/>
      <c r="S97" s="28"/>
      <c r="T97" s="28"/>
      <c r="U97" s="28"/>
      <c r="V97" s="28"/>
      <c r="W97" s="28"/>
      <c r="X97" s="28"/>
      <c r="Y97" s="28"/>
      <c r="Z97" s="28"/>
      <c r="AA97" s="28"/>
      <c r="AB97" s="28"/>
    </row>
    <row r="98" spans="1:28" ht="14" x14ac:dyDescent="0.15">
      <c r="A98" s="21" t="s">
        <v>220</v>
      </c>
      <c r="B98" s="22" t="s">
        <v>221</v>
      </c>
      <c r="C98" s="23" t="str">
        <f ca="1">IFERROR(__xludf.DUMMYFUNCTION("GOOGLETRANSLATE(B98, ""en"", ""fr"")"),"Armes d'artisanat")</f>
        <v>Armes d'artisanat</v>
      </c>
      <c r="D98" s="23" t="str">
        <f ca="1">IFERROR(__xludf.DUMMYFUNCTION("GOOGLETRANSLATE(B98, ""en"", ""es"")"),"Armas de elaboración")</f>
        <v>Armas de elaboración</v>
      </c>
      <c r="E98" s="23" t="str">
        <f ca="1">IFERROR(__xludf.DUMMYFUNCTION("GOOGLETRANSLATE(B98, ""en"", ""ru"")"),"Оручье оружие")</f>
        <v>Оручье оружие</v>
      </c>
      <c r="F98" s="23" t="str">
        <f ca="1">IFERROR(__xludf.DUMMYFUNCTION("GOOGLETRANSLATE(B98, ""en"", ""tr"")"),"Silah işçiliği")</f>
        <v>Silah işçiliği</v>
      </c>
      <c r="G98" s="23" t="str">
        <f ca="1">IFERROR(__xludf.DUMMYFUNCTION("GOOGLETRANSLATE(B98, ""en"", ""pt"")"),"Armas de artesanato")</f>
        <v>Armas de artesanato</v>
      </c>
      <c r="H98" s="24" t="str">
        <f ca="1">IFERROR(__xludf.DUMMYFUNCTION("GOOGLETRANSLATE(B98, ""en"", ""de"")"),"Waffen baulenzen.")</f>
        <v>Waffen baulenzen.</v>
      </c>
      <c r="I98" s="23" t="str">
        <f ca="1">IFERROR(__xludf.DUMMYFUNCTION("GOOGLETRANSLATE(B98, ""en"", ""pl"")"),"Crafting Weapons.")</f>
        <v>Crafting Weapons.</v>
      </c>
      <c r="J98" s="25" t="str">
        <f ca="1">IFERROR(__xludf.DUMMYFUNCTION("GOOGLETRANSLATE(B98, ""en"", ""zh"")"),"制作武器")</f>
        <v>制作武器</v>
      </c>
      <c r="K98" s="25" t="str">
        <f ca="1">IFERROR(__xludf.DUMMYFUNCTION("GOOGLETRANSLATE(B98, ""en"", ""vi"")"),"Vũ khí chế tạo")</f>
        <v>Vũ khí chế tạo</v>
      </c>
      <c r="L98" s="26" t="str">
        <f ca="1">IFERROR(__xludf.DUMMYFUNCTION("GOOGLETRANSLATE(B98, ""en"", ""hr"")"),"Izraditi oružje")</f>
        <v>Izraditi oružje</v>
      </c>
      <c r="M98" s="28"/>
      <c r="N98" s="28"/>
      <c r="O98" s="28"/>
      <c r="P98" s="28"/>
      <c r="Q98" s="28"/>
      <c r="R98" s="28"/>
      <c r="S98" s="28"/>
      <c r="T98" s="28"/>
      <c r="U98" s="28"/>
      <c r="V98" s="28"/>
      <c r="W98" s="28"/>
      <c r="X98" s="28"/>
      <c r="Y98" s="28"/>
      <c r="Z98" s="28"/>
      <c r="AA98" s="28"/>
      <c r="AB98" s="28"/>
    </row>
    <row r="99" spans="1:28" ht="14" x14ac:dyDescent="0.15">
      <c r="A99" s="21" t="s">
        <v>222</v>
      </c>
      <c r="B99" s="22" t="s">
        <v>223</v>
      </c>
      <c r="C99" s="23" t="str">
        <f ca="1">IFERROR(__xludf.DUMMYFUNCTION("GOOGLETRANSLATE(B99, ""en"", ""fr"")"),"Bancaire")</f>
        <v>Bancaire</v>
      </c>
      <c r="D99" s="23" t="str">
        <f ca="1">IFERROR(__xludf.DUMMYFUNCTION("GOOGLETRANSLATE(B99, ""en"", ""es"")"),"Bancario")</f>
        <v>Bancario</v>
      </c>
      <c r="E99" s="23" t="str">
        <f ca="1">IFERROR(__xludf.DUMMYFUNCTION("GOOGLETRANSLATE(B99, ""en"", ""ru"")"),"Банковское дело")</f>
        <v>Банковское дело</v>
      </c>
      <c r="F99" s="23" t="str">
        <f ca="1">IFERROR(__xludf.DUMMYFUNCTION("GOOGLETRANSLATE(B99, ""en"", ""tr"")"),"Bankacılık")</f>
        <v>Bankacılık</v>
      </c>
      <c r="G99" s="23" t="str">
        <f ca="1">IFERROR(__xludf.DUMMYFUNCTION("GOOGLETRANSLATE(B99, ""en"", ""pt"")"),"Bancário")</f>
        <v>Bancário</v>
      </c>
      <c r="H99" s="24" t="str">
        <f ca="1">IFERROR(__xludf.DUMMYFUNCTION("GOOGLETRANSLATE(B99, ""en"", ""de"")"),"Banken")</f>
        <v>Banken</v>
      </c>
      <c r="I99" s="23" t="str">
        <f ca="1">IFERROR(__xludf.DUMMYFUNCTION("GOOGLETRANSLATE(B99, ""en"", ""pl"")"),"Bankowość")</f>
        <v>Bankowość</v>
      </c>
      <c r="J99" s="25" t="str">
        <f ca="1">IFERROR(__xludf.DUMMYFUNCTION("GOOGLETRANSLATE(B99, ""en"", ""zh"")"),"银行业")</f>
        <v>银行业</v>
      </c>
      <c r="K99" s="25" t="str">
        <f ca="1">IFERROR(__xludf.DUMMYFUNCTION("GOOGLETRANSLATE(B99, ""en"", ""vi"")"),"Ngân hàng.")</f>
        <v>Ngân hàng.</v>
      </c>
      <c r="L99" s="26" t="str">
        <f ca="1">IFERROR(__xludf.DUMMYFUNCTION("GOOGLETRANSLATE(B99, ""en"", ""hr"")"),"Bankarstvo")</f>
        <v>Bankarstvo</v>
      </c>
      <c r="M99" s="28"/>
      <c r="N99" s="28"/>
      <c r="O99" s="28"/>
      <c r="P99" s="28"/>
      <c r="Q99" s="28"/>
      <c r="R99" s="28"/>
      <c r="S99" s="28"/>
      <c r="T99" s="28"/>
      <c r="U99" s="28"/>
      <c r="V99" s="28"/>
      <c r="W99" s="28"/>
      <c r="X99" s="28"/>
      <c r="Y99" s="28"/>
      <c r="Z99" s="28"/>
      <c r="AA99" s="28"/>
      <c r="AB99" s="28"/>
    </row>
    <row r="100" spans="1:28" ht="14" x14ac:dyDescent="0.15">
      <c r="A100" s="21" t="s">
        <v>224</v>
      </c>
      <c r="B100" s="22" t="s">
        <v>225</v>
      </c>
      <c r="C100" s="23" t="str">
        <f ca="1">IFERROR(__xludf.DUMMYFUNCTION("GOOGLETRANSLATE(B100, ""en"", ""fr"")"),"Combat")</f>
        <v>Combat</v>
      </c>
      <c r="D100" s="23" t="str">
        <f ca="1">IFERROR(__xludf.DUMMYFUNCTION("GOOGLETRANSLATE(B100, ""en"", ""es"")"),"Combate")</f>
        <v>Combate</v>
      </c>
      <c r="E100" s="23" t="str">
        <f ca="1">IFERROR(__xludf.DUMMYFUNCTION("GOOGLETRANSLATE(B100, ""en"", ""ru"")"),"Бой")</f>
        <v>Бой</v>
      </c>
      <c r="F100" s="23" t="str">
        <f ca="1">IFERROR(__xludf.DUMMYFUNCTION("GOOGLETRANSLATE(B100, ""en"", ""tr"")"),"Mücâdele etmek")</f>
        <v>Mücâdele etmek</v>
      </c>
      <c r="G100" s="23" t="str">
        <f ca="1">IFERROR(__xludf.DUMMYFUNCTION("GOOGLETRANSLATE(B100, ""en"", ""pt"")"),"Combate")</f>
        <v>Combate</v>
      </c>
      <c r="H100" s="24" t="str">
        <f ca="1">IFERROR(__xludf.DUMMYFUNCTION("GOOGLETRANSLATE(B100, ""en"", ""de"")"),"Kampf")</f>
        <v>Kampf</v>
      </c>
      <c r="I100" s="23" t="str">
        <f ca="1">IFERROR(__xludf.DUMMYFUNCTION("GOOGLETRANSLATE(B100, ""en"", ""pl"")"),"Walka")</f>
        <v>Walka</v>
      </c>
      <c r="J100" s="25" t="str">
        <f ca="1">IFERROR(__xludf.DUMMYFUNCTION("GOOGLETRANSLATE(B100, ""en"", ""zh"")"),"战斗")</f>
        <v>战斗</v>
      </c>
      <c r="K100" s="25" t="str">
        <f ca="1">IFERROR(__xludf.DUMMYFUNCTION("GOOGLETRANSLATE(B100, ""en"", ""vi"")"),"Chiến đấu")</f>
        <v>Chiến đấu</v>
      </c>
      <c r="L100" s="26" t="str">
        <f ca="1">IFERROR(__xludf.DUMMYFUNCTION("GOOGLETRANSLATE(B100, ""en"", ""hr"")"),"Borba")</f>
        <v>Borba</v>
      </c>
      <c r="M100" s="28"/>
      <c r="N100" s="28"/>
      <c r="O100" s="28"/>
      <c r="P100" s="28"/>
      <c r="Q100" s="28"/>
      <c r="R100" s="28"/>
      <c r="S100" s="28"/>
      <c r="T100" s="28"/>
      <c r="U100" s="28"/>
      <c r="V100" s="28"/>
      <c r="W100" s="28"/>
      <c r="X100" s="28"/>
      <c r="Y100" s="28"/>
      <c r="Z100" s="28"/>
      <c r="AA100" s="28"/>
      <c r="AB100" s="28"/>
    </row>
    <row r="101" spans="1:28" ht="14" x14ac:dyDescent="0.15">
      <c r="A101" s="21" t="s">
        <v>226</v>
      </c>
      <c r="B101" s="22" t="s">
        <v>227</v>
      </c>
      <c r="C101" s="23" t="str">
        <f ca="1">IFERROR(__xludf.DUMMYFUNCTION("GOOGLETRANSLATE(B101, ""en"", ""fr"")"),"TOUS")</f>
        <v>TOUS</v>
      </c>
      <c r="D101" s="23" t="str">
        <f ca="1">IFERROR(__xludf.DUMMYFUNCTION("GOOGLETRANSLATE(B101, ""en"", ""es"")"),"TODOS")</f>
        <v>TODOS</v>
      </c>
      <c r="E101" s="23" t="str">
        <f ca="1">IFERROR(__xludf.DUMMYFUNCTION("GOOGLETRANSLATE(B101, ""en"", ""ru"")"),"ВСЕ")</f>
        <v>ВСЕ</v>
      </c>
      <c r="F101" s="23" t="str">
        <f ca="1">IFERROR(__xludf.DUMMYFUNCTION("GOOGLETRANSLATE(B101, ""en"", ""tr"")"),"HERŞEY")</f>
        <v>HERŞEY</v>
      </c>
      <c r="G101" s="23" t="str">
        <f ca="1">IFERROR(__xludf.DUMMYFUNCTION("GOOGLETRANSLATE(B101, ""en"", ""pt"")"),"TUDO")</f>
        <v>TUDO</v>
      </c>
      <c r="H101" s="24" t="str">
        <f ca="1">IFERROR(__xludf.DUMMYFUNCTION("GOOGLETRANSLATE(B101, ""en"", ""de"")"),"ALLE")</f>
        <v>ALLE</v>
      </c>
      <c r="I101" s="23" t="str">
        <f ca="1">IFERROR(__xludf.DUMMYFUNCTION("GOOGLETRANSLATE(B101, ""en"", ""pl"")"),"WSZYSTKO")</f>
        <v>WSZYSTKO</v>
      </c>
      <c r="J101" s="25" t="str">
        <f ca="1">IFERROR(__xludf.DUMMYFUNCTION("GOOGLETRANSLATE(B101, ""en"", ""zh"")"),"全部")</f>
        <v>全部</v>
      </c>
      <c r="K101" s="25" t="str">
        <f ca="1">IFERROR(__xludf.DUMMYFUNCTION("GOOGLETRANSLATE(B101, ""en"", ""vi"")"),"TẤT CẢ CÁC")</f>
        <v>TẤT CẢ CÁC</v>
      </c>
      <c r="L101" s="26" t="str">
        <f ca="1">IFERROR(__xludf.DUMMYFUNCTION("GOOGLETRANSLATE(B101, ""en"", ""hr"")"),"SVI")</f>
        <v>SVI</v>
      </c>
      <c r="M101" s="28"/>
      <c r="N101" s="28"/>
      <c r="O101" s="28"/>
      <c r="P101" s="28"/>
      <c r="Q101" s="28"/>
      <c r="R101" s="28"/>
      <c r="S101" s="28"/>
      <c r="T101" s="28"/>
      <c r="U101" s="28"/>
      <c r="V101" s="28"/>
      <c r="W101" s="28"/>
      <c r="X101" s="28"/>
      <c r="Y101" s="28"/>
      <c r="Z101" s="28"/>
      <c r="AA101" s="28"/>
      <c r="AB101" s="28"/>
    </row>
    <row r="102" spans="1:28" ht="14" x14ac:dyDescent="0.15">
      <c r="A102" s="21" t="s">
        <v>228</v>
      </c>
      <c r="B102" s="22" t="s">
        <v>229</v>
      </c>
      <c r="C102" s="23" t="str">
        <f ca="1">IFERROR(__xludf.DUMMYFUNCTION("GOOGLETRANSLATE(B102, ""en"", ""fr"")"),"LOCAL")</f>
        <v>LOCAL</v>
      </c>
      <c r="D102" s="23" t="str">
        <f ca="1">IFERROR(__xludf.DUMMYFUNCTION("GOOGLETRANSLATE(B102, ""en"", ""es"")"),"LOCAL")</f>
        <v>LOCAL</v>
      </c>
      <c r="E102" s="23" t="str">
        <f ca="1">IFERROR(__xludf.DUMMYFUNCTION("GOOGLETRANSLATE(B102, ""en"", ""ru"")"),"МЕСТНЫЙ")</f>
        <v>МЕСТНЫЙ</v>
      </c>
      <c r="F102" s="23" t="str">
        <f ca="1">IFERROR(__xludf.DUMMYFUNCTION("GOOGLETRANSLATE(B102, ""en"", ""tr"")"),"YEREL")</f>
        <v>YEREL</v>
      </c>
      <c r="G102" s="23" t="str">
        <f ca="1">IFERROR(__xludf.DUMMYFUNCTION("GOOGLETRANSLATE(B102, ""en"", ""pt"")"),"LOCAL")</f>
        <v>LOCAL</v>
      </c>
      <c r="H102" s="24" t="str">
        <f ca="1">IFERROR(__xludf.DUMMYFUNCTION("GOOGLETRANSLATE(B102, ""en"", ""de"")"),"LOKAL")</f>
        <v>LOKAL</v>
      </c>
      <c r="I102" s="23" t="str">
        <f ca="1">IFERROR(__xludf.DUMMYFUNCTION("GOOGLETRANSLATE(B102, ""en"", ""pl"")"),"LOKALNY")</f>
        <v>LOKALNY</v>
      </c>
      <c r="J102" s="25" t="str">
        <f ca="1">IFERROR(__xludf.DUMMYFUNCTION("GOOGLETRANSLATE(B102, ""en"", ""zh"")"),"当地的")</f>
        <v>当地的</v>
      </c>
      <c r="K102" s="25" t="str">
        <f ca="1">IFERROR(__xludf.DUMMYFUNCTION("GOOGLETRANSLATE(B102, ""en"", ""vi"")"),"ĐỊA PHƯƠNG")</f>
        <v>ĐỊA PHƯƠNG</v>
      </c>
      <c r="L102" s="26" t="str">
        <f ca="1">IFERROR(__xludf.DUMMYFUNCTION("GOOGLETRANSLATE(B102, ""en"", ""hr"")"),"Lokalni")</f>
        <v>Lokalni</v>
      </c>
      <c r="M102" s="28"/>
      <c r="N102" s="28"/>
      <c r="O102" s="28"/>
      <c r="P102" s="28"/>
      <c r="Q102" s="28"/>
      <c r="R102" s="28"/>
      <c r="S102" s="28"/>
      <c r="T102" s="28"/>
      <c r="U102" s="28"/>
      <c r="V102" s="28"/>
      <c r="W102" s="28"/>
      <c r="X102" s="28"/>
      <c r="Y102" s="28"/>
      <c r="Z102" s="28"/>
      <c r="AA102" s="28"/>
      <c r="AB102" s="28"/>
    </row>
    <row r="103" spans="1:28" ht="14" x14ac:dyDescent="0.15">
      <c r="A103" s="21" t="s">
        <v>230</v>
      </c>
      <c r="B103" s="22" t="s">
        <v>231</v>
      </c>
      <c r="C103" s="23" t="str">
        <f ca="1">IFERROR(__xludf.DUMMYFUNCTION("GOOGLETRANSLATE(B103, ""en"", ""fr"")"),"GLOBAL")</f>
        <v>GLOBAL</v>
      </c>
      <c r="D103" s="23" t="str">
        <f ca="1">IFERROR(__xludf.DUMMYFUNCTION("GOOGLETRANSLATE(B103, ""en"", ""es"")"),"GLOBAL")</f>
        <v>GLOBAL</v>
      </c>
      <c r="E103" s="23" t="str">
        <f ca="1">IFERROR(__xludf.DUMMYFUNCTION("GOOGLETRANSLATE(B103, ""en"", ""ru"")"),"ГЛОБАЛЬНЫЙ")</f>
        <v>ГЛОБАЛЬНЫЙ</v>
      </c>
      <c r="F103" s="23" t="str">
        <f ca="1">IFERROR(__xludf.DUMMYFUNCTION("GOOGLETRANSLATE(B103, ""en"", ""tr"")"),"Küresel")</f>
        <v>Küresel</v>
      </c>
      <c r="G103" s="23" t="str">
        <f ca="1">IFERROR(__xludf.DUMMYFUNCTION("GOOGLETRANSLATE(B103, ""en"", ""pt"")"),"GLOBAL")</f>
        <v>GLOBAL</v>
      </c>
      <c r="H103" s="24" t="str">
        <f ca="1">IFERROR(__xludf.DUMMYFUNCTION("GOOGLETRANSLATE(B103, ""en"", ""de"")"),"Global")</f>
        <v>Global</v>
      </c>
      <c r="I103" s="23" t="str">
        <f ca="1">IFERROR(__xludf.DUMMYFUNCTION("GOOGLETRANSLATE(B103, ""en"", ""pl"")"),"ŚWIATOWY")</f>
        <v>ŚWIATOWY</v>
      </c>
      <c r="J103" s="25" t="str">
        <f ca="1">IFERROR(__xludf.DUMMYFUNCTION("GOOGLETRANSLATE(B103, ""en"", ""zh"")"),"全球的")</f>
        <v>全球的</v>
      </c>
      <c r="K103" s="25" t="str">
        <f ca="1">IFERROR(__xludf.DUMMYFUNCTION("GOOGLETRANSLATE(B103, ""en"", ""vi"")"),"TOÀN CẦU")</f>
        <v>TOÀN CẦU</v>
      </c>
      <c r="L103" s="26" t="str">
        <f ca="1">IFERROR(__xludf.DUMMYFUNCTION("GOOGLETRANSLATE(B103, ""en"", ""hr"")"),"GLOBALNO")</f>
        <v>GLOBALNO</v>
      </c>
      <c r="M103" s="28"/>
      <c r="N103" s="28"/>
      <c r="O103" s="28"/>
      <c r="P103" s="28"/>
      <c r="Q103" s="28"/>
      <c r="R103" s="28"/>
      <c r="S103" s="28"/>
      <c r="T103" s="28"/>
      <c r="U103" s="28"/>
      <c r="V103" s="28"/>
      <c r="W103" s="28"/>
      <c r="X103" s="28"/>
      <c r="Y103" s="28"/>
      <c r="Z103" s="28"/>
      <c r="AA103" s="28"/>
      <c r="AB103" s="28"/>
    </row>
    <row r="104" spans="1:28" ht="14" x14ac:dyDescent="0.15">
      <c r="A104" s="21" t="s">
        <v>232</v>
      </c>
      <c r="B104" s="22" t="s">
        <v>233</v>
      </c>
      <c r="C104" s="23" t="str">
        <f ca="1">IFERROR(__xludf.DUMMYFUNCTION("GOOGLETRANSLATE(B104, ""en"", ""fr"")"),"COMMERCE")</f>
        <v>COMMERCE</v>
      </c>
      <c r="D104" s="23" t="str">
        <f ca="1">IFERROR(__xludf.DUMMYFUNCTION("GOOGLETRANSLATE(B104, ""en"", ""es"")"),"COMERCIO")</f>
        <v>COMERCIO</v>
      </c>
      <c r="E104" s="23" t="str">
        <f ca="1">IFERROR(__xludf.DUMMYFUNCTION("GOOGLETRANSLATE(B104, ""en"", ""ru"")"),"ТОРГОВЛЯ")</f>
        <v>ТОРГОВЛЯ</v>
      </c>
      <c r="F104" s="23" t="str">
        <f ca="1">IFERROR(__xludf.DUMMYFUNCTION("GOOGLETRANSLATE(B104, ""en"", ""tr"")"),"TİCARET")</f>
        <v>TİCARET</v>
      </c>
      <c r="G104" s="23" t="str">
        <f ca="1">IFERROR(__xludf.DUMMYFUNCTION("GOOGLETRANSLATE(B104, ""en"", ""pt"")"),"TROCA")</f>
        <v>TROCA</v>
      </c>
      <c r="H104" s="24" t="str">
        <f ca="1">IFERROR(__xludf.DUMMYFUNCTION("GOOGLETRANSLATE(B104, ""en"", ""de"")"),"HANDEL")</f>
        <v>HANDEL</v>
      </c>
      <c r="I104" s="23" t="str">
        <f ca="1">IFERROR(__xludf.DUMMYFUNCTION("GOOGLETRANSLATE(B104, ""en"", ""pl"")"),"HANDEL")</f>
        <v>HANDEL</v>
      </c>
      <c r="J104" s="25" t="str">
        <f ca="1">IFERROR(__xludf.DUMMYFUNCTION("GOOGLETRANSLATE(B104, ""en"", ""zh"")"),"贸易")</f>
        <v>贸易</v>
      </c>
      <c r="K104" s="25" t="str">
        <f ca="1">IFERROR(__xludf.DUMMYFUNCTION("GOOGLETRANSLATE(B104, ""en"", ""vi"")"),"BUÔN BÁN")</f>
        <v>BUÔN BÁN</v>
      </c>
      <c r="L104" s="26" t="str">
        <f ca="1">IFERROR(__xludf.DUMMYFUNCTION("GOOGLETRANSLATE(B104, ""en"", ""hr"")"),"TRGOVINA")</f>
        <v>TRGOVINA</v>
      </c>
      <c r="M104" s="28"/>
      <c r="N104" s="28"/>
      <c r="O104" s="28"/>
      <c r="P104" s="28"/>
      <c r="Q104" s="28"/>
      <c r="R104" s="28"/>
      <c r="S104" s="28"/>
      <c r="T104" s="28"/>
      <c r="U104" s="28"/>
      <c r="V104" s="28"/>
      <c r="W104" s="28"/>
      <c r="X104" s="28"/>
      <c r="Y104" s="28"/>
      <c r="Z104" s="28"/>
      <c r="AA104" s="28"/>
      <c r="AB104" s="28"/>
    </row>
    <row r="105" spans="1:28" ht="28" x14ac:dyDescent="0.15">
      <c r="A105" s="21" t="s">
        <v>234</v>
      </c>
      <c r="B105" s="22" t="s">
        <v>235</v>
      </c>
      <c r="C105" s="23" t="str">
        <f ca="1">IFERROR(__xludf.DUMMYFUNCTION("GOOGLETRANSLATE(B105, ""en"", ""fr"")"),"Entrez un message")</f>
        <v>Entrez un message</v>
      </c>
      <c r="D105" s="23" t="str">
        <f ca="1">IFERROR(__xludf.DUMMYFUNCTION("GOOGLETRANSLATE(B105, ""en"", ""es"")"),"Entrar en un mensaje")</f>
        <v>Entrar en un mensaje</v>
      </c>
      <c r="E105" s="23" t="str">
        <f ca="1">IFERROR(__xludf.DUMMYFUNCTION("GOOGLETRANSLATE(B105, ""en"", ""ru"")"),"Введите сообщение")</f>
        <v>Введите сообщение</v>
      </c>
      <c r="F105" s="23" t="str">
        <f ca="1">IFERROR(__xludf.DUMMYFUNCTION("GOOGLETRANSLATE(B105, ""en"", ""tr"")"),"Bir mesaj girin")</f>
        <v>Bir mesaj girin</v>
      </c>
      <c r="G105" s="23" t="str">
        <f ca="1">IFERROR(__xludf.DUMMYFUNCTION("GOOGLETRANSLATE(B105, ""en"", ""pt"")"),"Digite uma mensagem")</f>
        <v>Digite uma mensagem</v>
      </c>
      <c r="H105" s="24" t="str">
        <f ca="1">IFERROR(__xludf.DUMMYFUNCTION("GOOGLETRANSLATE(B105, ""en"", ""de"")"),"Eine Nachricht eingeben")</f>
        <v>Eine Nachricht eingeben</v>
      </c>
      <c r="I105" s="23" t="str">
        <f ca="1">IFERROR(__xludf.DUMMYFUNCTION("GOOGLETRANSLATE(B105, ""en"", ""pl"")"),"Wprowadź wiadomość")</f>
        <v>Wprowadź wiadomość</v>
      </c>
      <c r="J105" s="25" t="str">
        <f ca="1">IFERROR(__xludf.DUMMYFUNCTION("GOOGLETRANSLATE(B105, ""en"", ""zh"")"),"输入消息")</f>
        <v>输入消息</v>
      </c>
      <c r="K105" s="25" t="str">
        <f ca="1">IFERROR(__xludf.DUMMYFUNCTION("GOOGLETRANSLATE(B105, ""en"", ""vi"")"),"Nhập một thông báo")</f>
        <v>Nhập một thông báo</v>
      </c>
      <c r="L105" s="26" t="str">
        <f ca="1">IFERROR(__xludf.DUMMYFUNCTION("GOOGLETRANSLATE(B105, ""en"", ""hr"")"),"Unesite poruku")</f>
        <v>Unesite poruku</v>
      </c>
      <c r="M105" s="28"/>
      <c r="N105" s="28"/>
      <c r="O105" s="28"/>
      <c r="P105" s="28"/>
      <c r="Q105" s="28"/>
      <c r="R105" s="28"/>
      <c r="S105" s="28"/>
      <c r="T105" s="28"/>
      <c r="U105" s="28"/>
      <c r="V105" s="28"/>
      <c r="W105" s="28"/>
      <c r="X105" s="28"/>
      <c r="Y105" s="28"/>
      <c r="Z105" s="28"/>
      <c r="AA105" s="28"/>
      <c r="AB105" s="28"/>
    </row>
    <row r="106" spans="1:28" ht="14" x14ac:dyDescent="0.15">
      <c r="A106" s="21" t="s">
        <v>236</v>
      </c>
      <c r="B106" s="22" t="s">
        <v>236</v>
      </c>
      <c r="C106" s="23" t="str">
        <f ca="1">IFERROR(__xludf.DUMMYFUNCTION("GOOGLETRANSLATE(B106, ""en"", ""fr"")"),"Refroidir")</f>
        <v>Refroidir</v>
      </c>
      <c r="D106" s="23" t="str">
        <f ca="1">IFERROR(__xludf.DUMMYFUNCTION("GOOGLETRANSLATE(B106, ""en"", ""es"")"),"Enfriarse")</f>
        <v>Enfriarse</v>
      </c>
      <c r="E106" s="23" t="str">
        <f ca="1">IFERROR(__xludf.DUMMYFUNCTION("GOOGLETRANSLATE(B106, ""en"", ""ru"")"),"Остыть")</f>
        <v>Остыть</v>
      </c>
      <c r="F106" s="23" t="str">
        <f ca="1">IFERROR(__xludf.DUMMYFUNCTION("GOOGLETRANSLATE(B106, ""en"", ""tr"")"),"Sakin ol")</f>
        <v>Sakin ol</v>
      </c>
      <c r="G106" s="23" t="str">
        <f ca="1">IFERROR(__xludf.DUMMYFUNCTION("GOOGLETRANSLATE(B106, ""en"", ""pt"")"),"Esfriar")</f>
        <v>Esfriar</v>
      </c>
      <c r="H106" s="24" t="str">
        <f ca="1">IFERROR(__xludf.DUMMYFUNCTION("GOOGLETRANSLATE(B106, ""en"", ""de"")"),"Abkühlen")</f>
        <v>Abkühlen</v>
      </c>
      <c r="I106" s="23" t="str">
        <f ca="1">IFERROR(__xludf.DUMMYFUNCTION("GOOGLETRANSLATE(B106, ""en"", ""pl"")"),"Ochłonąć")</f>
        <v>Ochłonąć</v>
      </c>
      <c r="J106" s="25" t="str">
        <f ca="1">IFERROR(__xludf.DUMMYFUNCTION("GOOGLETRANSLATE(B106, ""en"", ""zh"")"),"冷却")</f>
        <v>冷却</v>
      </c>
      <c r="K106" s="25" t="str">
        <f ca="1">IFERROR(__xludf.DUMMYFUNCTION("GOOGLETRANSLATE(B106, ""en"", ""vi"")"),"Nguội đi")</f>
        <v>Nguội đi</v>
      </c>
      <c r="L106" s="26" t="str">
        <f ca="1">IFERROR(__xludf.DUMMYFUNCTION("GOOGLETRANSLATE(B106, ""en"", ""hr"")"),"Smiri se")</f>
        <v>Smiri se</v>
      </c>
      <c r="M106" s="28"/>
      <c r="N106" s="28"/>
      <c r="O106" s="28"/>
      <c r="P106" s="28"/>
      <c r="Q106" s="28"/>
      <c r="R106" s="28"/>
      <c r="S106" s="28"/>
      <c r="T106" s="28"/>
      <c r="U106" s="28"/>
      <c r="V106" s="28"/>
      <c r="W106" s="28"/>
      <c r="X106" s="28"/>
      <c r="Y106" s="28"/>
      <c r="Z106" s="28"/>
      <c r="AA106" s="28"/>
      <c r="AB106" s="28"/>
    </row>
    <row r="107" spans="1:28" ht="14" x14ac:dyDescent="0.15">
      <c r="A107" s="21" t="s">
        <v>237</v>
      </c>
      <c r="B107" s="22" t="s">
        <v>237</v>
      </c>
      <c r="C107" s="23" t="str">
        <f ca="1">IFERROR(__xludf.DUMMYFUNCTION("GOOGLETRANSLATE(B107, ""en"", ""fr"")"),"Envoi en cours")</f>
        <v>Envoi en cours</v>
      </c>
      <c r="D107" s="23" t="str">
        <f ca="1">IFERROR(__xludf.DUMMYFUNCTION("GOOGLETRANSLATE(B107, ""en"", ""es"")"),"Enviando")</f>
        <v>Enviando</v>
      </c>
      <c r="E107" s="23" t="str">
        <f ca="1">IFERROR(__xludf.DUMMYFUNCTION("GOOGLETRANSLATE(B107, ""en"", ""ru"")"),"Отправка")</f>
        <v>Отправка</v>
      </c>
      <c r="F107" s="23" t="str">
        <f ca="1">IFERROR(__xludf.DUMMYFUNCTION("GOOGLETRANSLATE(B107, ""en"", ""tr"")"),"Gönderme")</f>
        <v>Gönderme</v>
      </c>
      <c r="G107" s="23" t="str">
        <f ca="1">IFERROR(__xludf.DUMMYFUNCTION("GOOGLETRANSLATE(B107, ""en"", ""pt"")"),"Enviando")</f>
        <v>Enviando</v>
      </c>
      <c r="H107" s="24" t="str">
        <f ca="1">IFERROR(__xludf.DUMMYFUNCTION("GOOGLETRANSLATE(B107, ""en"", ""de"")"),"Sendend")</f>
        <v>Sendend</v>
      </c>
      <c r="I107" s="23" t="str">
        <f ca="1">IFERROR(__xludf.DUMMYFUNCTION("GOOGLETRANSLATE(B107, ""en"", ""pl"")"),"Wysyłanie")</f>
        <v>Wysyłanie</v>
      </c>
      <c r="J107" s="25" t="str">
        <f ca="1">IFERROR(__xludf.DUMMYFUNCTION("GOOGLETRANSLATE(B107, ""en"", ""zh"")"),"送")</f>
        <v>送</v>
      </c>
      <c r="K107" s="25" t="str">
        <f ca="1">IFERROR(__xludf.DUMMYFUNCTION("GOOGLETRANSLATE(B107, ""en"", ""vi"")"),"Gửi")</f>
        <v>Gửi</v>
      </c>
      <c r="L107" s="26" t="str">
        <f ca="1">IFERROR(__xludf.DUMMYFUNCTION("GOOGLETRANSLATE(B107, ""en"", ""hr"")"),"Slanje")</f>
        <v>Slanje</v>
      </c>
      <c r="M107" s="28"/>
      <c r="N107" s="28"/>
      <c r="O107" s="28"/>
      <c r="P107" s="28"/>
      <c r="Q107" s="28"/>
      <c r="R107" s="28"/>
      <c r="S107" s="28"/>
      <c r="T107" s="28"/>
      <c r="U107" s="28"/>
      <c r="V107" s="28"/>
      <c r="W107" s="28"/>
      <c r="X107" s="28"/>
      <c r="Y107" s="28"/>
      <c r="Z107" s="28"/>
      <c r="AA107" s="28"/>
      <c r="AB107" s="28"/>
    </row>
    <row r="108" spans="1:28" ht="14" x14ac:dyDescent="0.15">
      <c r="A108" s="21" t="s">
        <v>238</v>
      </c>
      <c r="B108" s="22" t="s">
        <v>136</v>
      </c>
      <c r="C108" s="23" t="str">
        <f ca="1">IFERROR(__xludf.DUMMYFUNCTION("GOOGLETRANSLATE(B108, ""en"", ""fr"")"),"Statistiques")</f>
        <v>Statistiques</v>
      </c>
      <c r="D108" s="23" t="str">
        <f ca="1">IFERROR(__xludf.DUMMYFUNCTION("GOOGLETRANSLATE(B108, ""en"", ""es"")"),"Estadísticas")</f>
        <v>Estadísticas</v>
      </c>
      <c r="E108" s="23" t="str">
        <f ca="1">IFERROR(__xludf.DUMMYFUNCTION("GOOGLETRANSLATE(B108, ""en"", ""ru"")"),"Статистика")</f>
        <v>Статистика</v>
      </c>
      <c r="F108" s="23" t="str">
        <f ca="1">IFERROR(__xludf.DUMMYFUNCTION("GOOGLETRANSLATE(B108, ""en"", ""tr"")"),"İstatistikler")</f>
        <v>İstatistikler</v>
      </c>
      <c r="G108" s="23" t="str">
        <f ca="1">IFERROR(__xludf.DUMMYFUNCTION("GOOGLETRANSLATE(B108, ""en"", ""pt"")"),"Estatísticas")</f>
        <v>Estatísticas</v>
      </c>
      <c r="H108" s="24" t="str">
        <f ca="1">IFERROR(__xludf.DUMMYFUNCTION("GOOGLETRANSLATE(B108, ""en"", ""de"")"),"Statistiken")</f>
        <v>Statistiken</v>
      </c>
      <c r="I108" s="23" t="str">
        <f ca="1">IFERROR(__xludf.DUMMYFUNCTION("GOOGLETRANSLATE(B108, ""en"", ""pl"")"),"Statystyki")</f>
        <v>Statystyki</v>
      </c>
      <c r="J108" s="25" t="str">
        <f ca="1">IFERROR(__xludf.DUMMYFUNCTION("GOOGLETRANSLATE(B108, ""en"", ""zh"")"),"统计")</f>
        <v>统计</v>
      </c>
      <c r="K108" s="25" t="str">
        <f ca="1">IFERROR(__xludf.DUMMYFUNCTION("GOOGLETRANSLATE(B108, ""en"", ""vi"")"),"Số liệu thống kê")</f>
        <v>Số liệu thống kê</v>
      </c>
      <c r="L108" s="26" t="str">
        <f ca="1">IFERROR(__xludf.DUMMYFUNCTION("GOOGLETRANSLATE(B108, ""en"", ""hr"")"),"Statistika")</f>
        <v>Statistika</v>
      </c>
      <c r="M108" s="28"/>
      <c r="N108" s="28"/>
      <c r="O108" s="28"/>
      <c r="P108" s="28"/>
      <c r="Q108" s="28"/>
      <c r="R108" s="28"/>
      <c r="S108" s="28"/>
      <c r="T108" s="28"/>
      <c r="U108" s="28"/>
      <c r="V108" s="28"/>
      <c r="W108" s="28"/>
      <c r="X108" s="28"/>
      <c r="Y108" s="28"/>
      <c r="Z108" s="28"/>
      <c r="AA108" s="28"/>
      <c r="AB108" s="28"/>
    </row>
    <row r="109" spans="1:28" ht="14" x14ac:dyDescent="0.15">
      <c r="A109" s="21" t="s">
        <v>239</v>
      </c>
      <c r="B109" s="22" t="s">
        <v>240</v>
      </c>
      <c r="C109" s="23" t="str">
        <f ca="1">IFERROR(__xludf.DUMMYFUNCTION("GOOGLETRANSLATE(B109, ""en"", ""fr"")"),"Banque")</f>
        <v>Banque</v>
      </c>
      <c r="D109" s="23" t="str">
        <f ca="1">IFERROR(__xludf.DUMMYFUNCTION("GOOGLETRANSLATE(B109, ""en"", ""es"")"),"Banco")</f>
        <v>Banco</v>
      </c>
      <c r="E109" s="23" t="str">
        <f ca="1">IFERROR(__xludf.DUMMYFUNCTION("GOOGLETRANSLATE(B109, ""en"", ""ru"")"),"банк")</f>
        <v>банк</v>
      </c>
      <c r="F109" s="23" t="str">
        <f ca="1">IFERROR(__xludf.DUMMYFUNCTION("GOOGLETRANSLATE(B109, ""en"", ""tr"")"),"Banka")</f>
        <v>Banka</v>
      </c>
      <c r="G109" s="23" t="str">
        <f ca="1">IFERROR(__xludf.DUMMYFUNCTION("GOOGLETRANSLATE(B109, ""en"", ""pt"")"),"Banco")</f>
        <v>Banco</v>
      </c>
      <c r="H109" s="24" t="str">
        <f ca="1">IFERROR(__xludf.DUMMYFUNCTION("GOOGLETRANSLATE(B109, ""en"", ""de"")"),"Bank")</f>
        <v>Bank</v>
      </c>
      <c r="I109" s="23" t="str">
        <f ca="1">IFERROR(__xludf.DUMMYFUNCTION("GOOGLETRANSLATE(B109, ""en"", ""pl"")"),"Bank")</f>
        <v>Bank</v>
      </c>
      <c r="J109" s="25" t="str">
        <f ca="1">IFERROR(__xludf.DUMMYFUNCTION("GOOGLETRANSLATE(B109, ""en"", ""zh"")"),"银行")</f>
        <v>银行</v>
      </c>
      <c r="K109" s="25" t="str">
        <f ca="1">IFERROR(__xludf.DUMMYFUNCTION("GOOGLETRANSLATE(B109, ""en"", ""vi"")"),"ngân hàng")</f>
        <v>ngân hàng</v>
      </c>
      <c r="L109" s="26" t="str">
        <f ca="1">IFERROR(__xludf.DUMMYFUNCTION("GOOGLETRANSLATE(B109, ""en"", ""hr"")"),"Banka")</f>
        <v>Banka</v>
      </c>
      <c r="M109" s="28"/>
      <c r="N109" s="28"/>
      <c r="O109" s="28"/>
      <c r="P109" s="28"/>
      <c r="Q109" s="28"/>
      <c r="R109" s="28"/>
      <c r="S109" s="28"/>
      <c r="T109" s="28"/>
      <c r="U109" s="28"/>
      <c r="V109" s="28"/>
      <c r="W109" s="28"/>
      <c r="X109" s="28"/>
      <c r="Y109" s="28"/>
      <c r="Z109" s="28"/>
      <c r="AA109" s="28"/>
      <c r="AB109" s="28"/>
    </row>
    <row r="110" spans="1:28" ht="42" x14ac:dyDescent="0.15">
      <c r="A110" s="21" t="s">
        <v>241</v>
      </c>
      <c r="B110" s="22" t="s">
        <v>242</v>
      </c>
      <c r="C110" s="23" t="s">
        <v>243</v>
      </c>
      <c r="D110" s="23" t="str">
        <f ca="1">IFERROR(__xludf.DUMMYFUNCTION("GOOGLETRANSLATE(B110, ""en"", ""es"")"),"Deposite todos los artículos de inventario.")</f>
        <v>Deposite todos los artículos de inventario.</v>
      </c>
      <c r="E110" s="23" t="str">
        <f ca="1">IFERROR(__xludf.DUMMYFUNCTION("GOOGLETRANSLATE(B110, ""en"", ""ru"")"),"Депонируйте все предметы инвентаризации")</f>
        <v>Депонируйте все предметы инвентаризации</v>
      </c>
      <c r="F110" s="23" t="str">
        <f ca="1">IFERROR(__xludf.DUMMYFUNCTION("GOOGLETRANSLATE(B110, ""en"", ""tr"")"),"Tüm stok maddelerini yatırın")</f>
        <v>Tüm stok maddelerini yatırın</v>
      </c>
      <c r="G110" s="23" t="str">
        <f ca="1">IFERROR(__xludf.DUMMYFUNCTION("GOOGLETRANSLATE(B110, ""en"", ""pt"")"),"Depositar todos os itens de inventário")</f>
        <v>Depositar todos os itens de inventário</v>
      </c>
      <c r="H110" s="24" t="str">
        <f ca="1">IFERROR(__xludf.DUMMYFUNCTION("GOOGLETRANSLATE(B110, ""en"", ""de"")"),"Zahlen Sie alle Inventarposten ein")</f>
        <v>Zahlen Sie alle Inventarposten ein</v>
      </c>
      <c r="I110" s="23" t="str">
        <f ca="1">IFERROR(__xludf.DUMMYFUNCTION("GOOGLETRANSLATE(B110, ""en"", ""pl"")"),"Wpłać wszystkie elementy zapasów")</f>
        <v>Wpłać wszystkie elementy zapasów</v>
      </c>
      <c r="J110" s="25" t="str">
        <f ca="1">IFERROR(__xludf.DUMMYFUNCTION("GOOGLETRANSLATE(B110, ""en"", ""zh"")"),"存入所有库存项目")</f>
        <v>存入所有库存项目</v>
      </c>
      <c r="K110" s="25" t="str">
        <f ca="1">IFERROR(__xludf.DUMMYFUNCTION("GOOGLETRANSLATE(B110, ""en"", ""vi"")"),"Gửi tất cả các mục hàng tồn kho")</f>
        <v>Gửi tất cả các mục hàng tồn kho</v>
      </c>
      <c r="L110" s="26" t="str">
        <f ca="1">IFERROR(__xludf.DUMMYFUNCTION("GOOGLETRANSLATE(B110, ""en"", ""hr"")"),"Uplatite sve stavke inventara")</f>
        <v>Uplatite sve stavke inventara</v>
      </c>
      <c r="M110" s="28"/>
      <c r="N110" s="28"/>
      <c r="O110" s="28"/>
      <c r="P110" s="28"/>
      <c r="Q110" s="28"/>
      <c r="R110" s="28"/>
      <c r="S110" s="28"/>
      <c r="T110" s="28"/>
      <c r="U110" s="28"/>
      <c r="V110" s="28"/>
      <c r="W110" s="28"/>
      <c r="X110" s="28"/>
      <c r="Y110" s="28"/>
      <c r="Z110" s="28"/>
      <c r="AA110" s="28"/>
      <c r="AB110" s="28"/>
    </row>
    <row r="111" spans="1:28" ht="56" x14ac:dyDescent="0.15">
      <c r="A111" s="21" t="s">
        <v>244</v>
      </c>
      <c r="B111" s="22" t="s">
        <v>245</v>
      </c>
      <c r="C111" s="23" t="s">
        <v>246</v>
      </c>
      <c r="D111" s="23" t="str">
        <f ca="1">IFERROR(__xludf.DUMMYFUNCTION("GOOGLETRANSLATE(B111, ""en"", ""es"")"),"Cuenta necesaria para el peso de almacenamiento del banco UGRADE.")</f>
        <v>Cuenta necesaria para el peso de almacenamiento del banco UGRADE.</v>
      </c>
      <c r="E111" s="23" t="str">
        <f ca="1">IFERROR(__xludf.DUMMYFUNCTION("GOOGLETRANSLATE(B111, ""en"", ""ru"")"),"Учетная запись необходима для массы хранения банка.")</f>
        <v>Учетная запись необходима для массы хранения банка.</v>
      </c>
      <c r="F111" s="23" t="str">
        <f ca="1">IFERROR(__xludf.DUMMYFUNCTION("GOOGLETRANSLATE(B111, ""en"", ""tr"")"),"Banka depolama ağırlığını geliştirmek için gereken hesap.")</f>
        <v>Banka depolama ağırlığını geliştirmek için gereken hesap.</v>
      </c>
      <c r="G111" s="23" t="str">
        <f ca="1">IFERROR(__xludf.DUMMYFUNCTION("GOOGLETRANSLATE(B111, ""en"", ""pt"")"),"Conta necessária para o peso do armazenamento do banco Ugrade.")</f>
        <v>Conta necessária para o peso do armazenamento do banco Ugrade.</v>
      </c>
      <c r="H111" s="24" t="str">
        <f ca="1">IFERROR(__xludf.DUMMYFUNCTION("GOOGLETRANSLATE(B111, ""en"", ""de"")"),"Konto, das zum U-Bahn-Speichergewicht erforderlich ist.")</f>
        <v>Konto, das zum U-Bahn-Speichergewicht erforderlich ist.</v>
      </c>
      <c r="I111" s="23" t="str">
        <f ca="1">IFERROR(__xludf.DUMMYFUNCTION("GOOGLETRANSLATE(B111, ""en"", ""pl"")"),"Konto potrzebne do Ugradki Banku Magażnika.")</f>
        <v>Konto potrzebne do Ugradki Banku Magażnika.</v>
      </c>
      <c r="J111" s="25" t="str">
        <f ca="1">IFERROR(__xludf.DUMMYFUNCTION("GOOGLETRANSLATE(B111, ""en"", ""zh"")"),"ugrade银行存储权重需要帐户。")</f>
        <v>ugrade银行存储权重需要帐户。</v>
      </c>
      <c r="K111" s="25" t="str">
        <f ca="1">IFERROR(__xludf.DUMMYFUNCTION("GOOGLETRANSLATE(B111, ""en"", ""vi"")"),"Tài khoản cần thiết để lưu trữ lưu trữ ngân hàng.")</f>
        <v>Tài khoản cần thiết để lưu trữ lưu trữ ngân hàng.</v>
      </c>
      <c r="L111" s="26" t="str">
        <f ca="1">IFERROR(__xludf.DUMMYFUNCTION("GOOGLETRANSLATE(B111, ""en"", ""hr"")"),"Račun koji je potreban za težinu bankovnog skladištenja.")</f>
        <v>Račun koji je potreban za težinu bankovnog skladištenja.</v>
      </c>
      <c r="M111" s="28"/>
      <c r="N111" s="28"/>
      <c r="O111" s="28"/>
      <c r="P111" s="28"/>
      <c r="Q111" s="28"/>
      <c r="R111" s="28"/>
      <c r="S111" s="28"/>
      <c r="T111" s="28"/>
      <c r="U111" s="28"/>
      <c r="V111" s="28"/>
      <c r="W111" s="28"/>
      <c r="X111" s="28"/>
      <c r="Y111" s="28"/>
      <c r="Z111" s="28"/>
      <c r="AA111" s="28"/>
      <c r="AB111" s="28"/>
    </row>
    <row r="112" spans="1:28" ht="42" x14ac:dyDescent="0.15">
      <c r="A112" s="21" t="s">
        <v>247</v>
      </c>
      <c r="B112" s="22" t="s">
        <v>248</v>
      </c>
      <c r="C112" s="23" t="s">
        <v>249</v>
      </c>
      <c r="D112" s="23" t="str">
        <f ca="1">IFERROR(__xludf.DUMMYFUNCTION("GOOGLETRANSLATE(B112, ""en"", ""es"")"),"Actualizar almacenamiento bancario")</f>
        <v>Actualizar almacenamiento bancario</v>
      </c>
      <c r="E112" s="23" t="str">
        <f ca="1">IFERROR(__xludf.DUMMYFUNCTION("GOOGLETRANSLATE(B112, ""en"", ""ru"")"),"Обновление банковского хранилища")</f>
        <v>Обновление банковского хранилища</v>
      </c>
      <c r="F112" s="23" t="str">
        <f ca="1">IFERROR(__xludf.DUMMYFUNCTION("GOOGLETRANSLATE(B112, ""en"", ""tr"")"),"Banka Depolama Yükseltme")</f>
        <v>Banka Depolama Yükseltme</v>
      </c>
      <c r="G112" s="23" t="str">
        <f ca="1">IFERROR(__xludf.DUMMYFUNCTION("GOOGLETRANSLATE(B112, ""en"", ""pt"")"),"Atualizar o armazenamento do banco")</f>
        <v>Atualizar o armazenamento do banco</v>
      </c>
      <c r="H112" s="24" t="str">
        <f ca="1">IFERROR(__xludf.DUMMYFUNCTION("GOOGLETRANSLATE(B112, ""en"", ""de"")"),"Upgrade Bankspeicherung.")</f>
        <v>Upgrade Bankspeicherung.</v>
      </c>
      <c r="I112" s="23" t="str">
        <f ca="1">IFERROR(__xludf.DUMMYFUNCTION("GOOGLETRANSLATE(B112, ""en"", ""pl"")"),"Upgrade Bank Storage.")</f>
        <v>Upgrade Bank Storage.</v>
      </c>
      <c r="J112" s="25" t="str">
        <f ca="1">IFERROR(__xludf.DUMMYFUNCTION("GOOGLETRANSLATE(B112, ""en"", ""zh"")"),"升级银行存储")</f>
        <v>升级银行存储</v>
      </c>
      <c r="K112" s="25" t="str">
        <f ca="1">IFERROR(__xludf.DUMMYFUNCTION("GOOGLETRANSLATE(B112, ""en"", ""vi"")"),"Nâng cấp lưu trữ ngân hàng")</f>
        <v>Nâng cấp lưu trữ ngân hàng</v>
      </c>
      <c r="L112" s="26" t="str">
        <f ca="1">IFERROR(__xludf.DUMMYFUNCTION("GOOGLETRANSLATE(B112, ""en"", ""hr"")"),"Nadogradite bankovnu pohranu")</f>
        <v>Nadogradite bankovnu pohranu</v>
      </c>
      <c r="M112" s="28"/>
      <c r="N112" s="28"/>
      <c r="O112" s="28"/>
      <c r="P112" s="28"/>
      <c r="Q112" s="28"/>
      <c r="R112" s="28"/>
      <c r="S112" s="28"/>
      <c r="T112" s="28"/>
      <c r="U112" s="28"/>
      <c r="V112" s="28"/>
      <c r="W112" s="28"/>
      <c r="X112" s="28"/>
      <c r="Y112" s="28"/>
      <c r="Z112" s="28"/>
      <c r="AA112" s="28"/>
      <c r="AB112" s="28"/>
    </row>
    <row r="113" spans="1:28" ht="14" x14ac:dyDescent="0.15">
      <c r="A113" s="21" t="s">
        <v>250</v>
      </c>
      <c r="B113" s="22" t="s">
        <v>250</v>
      </c>
      <c r="C113" s="23" t="str">
        <f ca="1">IFERROR(__xludf.DUMMYFUNCTION("GOOGLETRANSLATE(B113, ""en"", ""fr"")"),"Pas assez de gloire")</f>
        <v>Pas assez de gloire</v>
      </c>
      <c r="D113" s="23" t="str">
        <f ca="1">IFERROR(__xludf.DUMMYFUNCTION("GOOGLETRANSLATE(B113, ""en"", ""es"")"),"No es suficiente gloria")</f>
        <v>No es suficiente gloria</v>
      </c>
      <c r="E113" s="23" t="str">
        <f ca="1">IFERROR(__xludf.DUMMYFUNCTION("GOOGLETRANSLATE(B113, ""en"", ""ru"")"),"Недостаточно славы")</f>
        <v>Недостаточно славы</v>
      </c>
      <c r="F113" s="23" t="str">
        <f ca="1">IFERROR(__xludf.DUMMYFUNCTION("GOOGLETRANSLATE(B113, ""en"", ""tr"")"),"Yeterince şeref değil")</f>
        <v>Yeterince şeref değil</v>
      </c>
      <c r="G113" s="23" t="str">
        <f ca="1">IFERROR(__xludf.DUMMYFUNCTION("GOOGLETRANSLATE(B113, ""en"", ""pt"")"),"Glória não suficiente")</f>
        <v>Glória não suficiente</v>
      </c>
      <c r="H113" s="24" t="str">
        <f ca="1">IFERROR(__xludf.DUMMYFUNCTION("GOOGLETRANSLATE(B113, ""en"", ""de"")"),"Nicht genug Ruhm")</f>
        <v>Nicht genug Ruhm</v>
      </c>
      <c r="I113" s="23" t="str">
        <f ca="1">IFERROR(__xludf.DUMMYFUNCTION("GOOGLETRANSLATE(B113, ""en"", ""pl"")"),"Za mało chwały")</f>
        <v>Za mało chwały</v>
      </c>
      <c r="J113" s="25" t="str">
        <f ca="1">IFERROR(__xludf.DUMMYFUNCTION("GOOGLETRANSLATE(B113, ""en"", ""zh"")"),"不够荣耀")</f>
        <v>不够荣耀</v>
      </c>
      <c r="K113" s="25" t="str">
        <f ca="1">IFERROR(__xludf.DUMMYFUNCTION("GOOGLETRANSLATE(B113, ""en"", ""vi"")"),"Không đủ vinh quang")</f>
        <v>Không đủ vinh quang</v>
      </c>
      <c r="L113" s="26" t="str">
        <f ca="1">IFERROR(__xludf.DUMMYFUNCTION("GOOGLETRANSLATE(B113, ""en"", ""hr"")"),"Nije dovoljno slave")</f>
        <v>Nije dovoljno slave</v>
      </c>
      <c r="M113" s="28"/>
      <c r="N113" s="28"/>
      <c r="O113" s="28"/>
      <c r="P113" s="28"/>
      <c r="Q113" s="28"/>
      <c r="R113" s="28"/>
      <c r="S113" s="28"/>
      <c r="T113" s="28"/>
      <c r="U113" s="28"/>
      <c r="V113" s="28"/>
      <c r="W113" s="28"/>
      <c r="X113" s="28"/>
      <c r="Y113" s="28"/>
      <c r="Z113" s="28"/>
      <c r="AA113" s="28"/>
      <c r="AB113" s="28"/>
    </row>
    <row r="114" spans="1:28" ht="14" x14ac:dyDescent="0.15">
      <c r="A114" s="21" t="s">
        <v>251</v>
      </c>
      <c r="B114" s="22" t="s">
        <v>251</v>
      </c>
      <c r="C114" s="23" t="str">
        <f ca="1">IFERROR(__xludf.DUMMYFUNCTION("GOOGLETRANSLATE(B114, ""en"", ""fr"")"),"Espace de rangement")</f>
        <v>Espace de rangement</v>
      </c>
      <c r="D114" s="23" t="str">
        <f ca="1">IFERROR(__xludf.DUMMYFUNCTION("GOOGLETRANSLATE(B114, ""en"", ""es"")"),"Almacenamiento")</f>
        <v>Almacenamiento</v>
      </c>
      <c r="E114" s="23" t="str">
        <f ca="1">IFERROR(__xludf.DUMMYFUNCTION("GOOGLETRANSLATE(B114, ""en"", ""ru"")"),"Место хранения")</f>
        <v>Место хранения</v>
      </c>
      <c r="F114" s="23" t="str">
        <f ca="1">IFERROR(__xludf.DUMMYFUNCTION("GOOGLETRANSLATE(B114, ""en"", ""tr"")"),"Depolamak")</f>
        <v>Depolamak</v>
      </c>
      <c r="G114" s="23" t="str">
        <f ca="1">IFERROR(__xludf.DUMMYFUNCTION("GOOGLETRANSLATE(B114, ""en"", ""pt"")"),"Armazenar")</f>
        <v>Armazenar</v>
      </c>
      <c r="H114" s="24" t="str">
        <f ca="1">IFERROR(__xludf.DUMMYFUNCTION("GOOGLETRANSLATE(B114, ""en"", ""de"")"),"Lagerung")</f>
        <v>Lagerung</v>
      </c>
      <c r="I114" s="23" t="str">
        <f ca="1">IFERROR(__xludf.DUMMYFUNCTION("GOOGLETRANSLATE(B114, ""en"", ""pl"")"),"Składowanie")</f>
        <v>Składowanie</v>
      </c>
      <c r="J114" s="25" t="str">
        <f ca="1">IFERROR(__xludf.DUMMYFUNCTION("GOOGLETRANSLATE(B114, ""en"", ""zh"")"),"贮存")</f>
        <v>贮存</v>
      </c>
      <c r="K114" s="25" t="str">
        <f ca="1">IFERROR(__xludf.DUMMYFUNCTION("GOOGLETRANSLATE(B114, ""en"", ""vi"")"),"Kho")</f>
        <v>Kho</v>
      </c>
      <c r="L114" s="26" t="str">
        <f ca="1">IFERROR(__xludf.DUMMYFUNCTION("GOOGLETRANSLATE(B114, ""en"", ""hr"")"),"Skladište")</f>
        <v>Skladište</v>
      </c>
      <c r="M114" s="28"/>
      <c r="N114" s="28"/>
      <c r="O114" s="28"/>
      <c r="P114" s="28"/>
      <c r="Q114" s="28"/>
      <c r="R114" s="28"/>
      <c r="S114" s="28"/>
      <c r="T114" s="28"/>
      <c r="U114" s="28"/>
      <c r="V114" s="28"/>
      <c r="W114" s="28"/>
      <c r="X114" s="28"/>
      <c r="Y114" s="28"/>
      <c r="Z114" s="28"/>
      <c r="AA114" s="28"/>
      <c r="AB114" s="28"/>
    </row>
    <row r="115" spans="1:28" ht="28" x14ac:dyDescent="0.15">
      <c r="A115" s="21" t="s">
        <v>252</v>
      </c>
      <c r="B115" s="22" t="s">
        <v>253</v>
      </c>
      <c r="C115" s="23" t="str">
        <f ca="1">IFERROR(__xludf.DUMMYFUNCTION("GOOGLETRANSLATE(B115, ""en"", ""fr"")"),"Poids total du stockage")</f>
        <v>Poids total du stockage</v>
      </c>
      <c r="D115" s="23" t="str">
        <f ca="1">IFERROR(__xludf.DUMMYFUNCTION("GOOGLETRANSLATE(B115, ""en"", ""es"")"),"Peso total de almacenamiento")</f>
        <v>Peso total de almacenamiento</v>
      </c>
      <c r="E115" s="23" t="str">
        <f ca="1">IFERROR(__xludf.DUMMYFUNCTION("GOOGLETRANSLATE(B115, ""en"", ""ru"")"),"Общий вес хранения")</f>
        <v>Общий вес хранения</v>
      </c>
      <c r="F115" s="23" t="str">
        <f ca="1">IFERROR(__xludf.DUMMYFUNCTION("GOOGLETRANSLATE(B115, ""en"", ""tr"")"),"Toplam saklama ağırlığı")</f>
        <v>Toplam saklama ağırlığı</v>
      </c>
      <c r="G115" s="23" t="str">
        <f ca="1">IFERROR(__xludf.DUMMYFUNCTION("GOOGLETRANSLATE(B115, ""en"", ""pt"")"),"Peso total de armazenamento")</f>
        <v>Peso total de armazenamento</v>
      </c>
      <c r="H115" s="24" t="str">
        <f ca="1">IFERROR(__xludf.DUMMYFUNCTION("GOOGLETRANSLATE(B115, ""en"", ""de"")"),"Gesamtlagergewicht.")</f>
        <v>Gesamtlagergewicht.</v>
      </c>
      <c r="I115" s="23" t="str">
        <f ca="1">IFERROR(__xludf.DUMMYFUNCTION("GOOGLETRANSLATE(B115, ""en"", ""pl"")"),"Całkowita waga pamięci")</f>
        <v>Całkowita waga pamięci</v>
      </c>
      <c r="J115" s="25" t="str">
        <f ca="1">IFERROR(__xludf.DUMMYFUNCTION("GOOGLETRANSLATE(B115, ""en"", ""zh"")"),"总储物重量")</f>
        <v>总储物重量</v>
      </c>
      <c r="K115" s="25" t="str">
        <f ca="1">IFERROR(__xludf.DUMMYFUNCTION("GOOGLETRANSLATE(B115, ""en"", ""vi"")"),"Tổng trọng lượng lưu trữ")</f>
        <v>Tổng trọng lượng lưu trữ</v>
      </c>
      <c r="L115" s="26" t="str">
        <f ca="1">IFERROR(__xludf.DUMMYFUNCTION("GOOGLETRANSLATE(B115, ""en"", ""hr"")"),"Ukupna težina skladištenja")</f>
        <v>Ukupna težina skladištenja</v>
      </c>
      <c r="M115" s="28"/>
      <c r="N115" s="28"/>
      <c r="O115" s="28"/>
      <c r="P115" s="28"/>
      <c r="Q115" s="28"/>
      <c r="R115" s="28"/>
      <c r="S115" s="28"/>
      <c r="T115" s="28"/>
      <c r="U115" s="28"/>
      <c r="V115" s="28"/>
      <c r="W115" s="28"/>
      <c r="X115" s="28"/>
      <c r="Y115" s="28"/>
      <c r="Z115" s="28"/>
      <c r="AA115" s="28"/>
      <c r="AB115" s="28"/>
    </row>
    <row r="116" spans="1:28" ht="28" x14ac:dyDescent="0.15">
      <c r="A116" s="21" t="s">
        <v>254</v>
      </c>
      <c r="B116" s="22" t="s">
        <v>255</v>
      </c>
      <c r="C116" s="23" t="str">
        <f ca="1">IFERROR(__xludf.DUMMYFUNCTION("GOOGLETRANSLATE(B116, ""en"", ""fr"")"),"Le stockage est vide.")</f>
        <v>Le stockage est vide.</v>
      </c>
      <c r="D116" s="23" t="str">
        <f ca="1">IFERROR(__xludf.DUMMYFUNCTION("GOOGLETRANSLATE(B116, ""en"", ""es"")"),"El almacenamiento está vacío.")</f>
        <v>El almacenamiento está vacío.</v>
      </c>
      <c r="E116" s="23" t="str">
        <f ca="1">IFERROR(__xludf.DUMMYFUNCTION("GOOGLETRANSLATE(B116, ""en"", ""ru"")"),"Хранение пусто.")</f>
        <v>Хранение пусто.</v>
      </c>
      <c r="F116" s="23" t="str">
        <f ca="1">IFERROR(__xludf.DUMMYFUNCTION("GOOGLETRANSLATE(B116, ""en"", ""tr"")"),"Depolama boş.")</f>
        <v>Depolama boş.</v>
      </c>
      <c r="G116" s="23" t="str">
        <f ca="1">IFERROR(__xludf.DUMMYFUNCTION("GOOGLETRANSLATE(B116, ""en"", ""pt"")"),"O armazenamento está vazio.")</f>
        <v>O armazenamento está vazio.</v>
      </c>
      <c r="H116" s="24" t="str">
        <f ca="1">IFERROR(__xludf.DUMMYFUNCTION("GOOGLETRANSLATE(B116, ""en"", ""de"")"),"Die Lagerung ist leer.")</f>
        <v>Die Lagerung ist leer.</v>
      </c>
      <c r="I116" s="23" t="str">
        <f ca="1">IFERROR(__xludf.DUMMYFUNCTION("GOOGLETRANSLATE(B116, ""en"", ""pl"")"),"Przechowywanie jest puste.")</f>
        <v>Przechowywanie jest puste.</v>
      </c>
      <c r="J116" s="25" t="str">
        <f ca="1">IFERROR(__xludf.DUMMYFUNCTION("GOOGLETRANSLATE(B116, ""en"", ""zh"")"),"存储是空的。")</f>
        <v>存储是空的。</v>
      </c>
      <c r="K116" s="25" t="str">
        <f ca="1">IFERROR(__xludf.DUMMYFUNCTION("GOOGLETRANSLATE(B116, ""en"", ""vi"")"),"Lưu trữ trống rỗng.")</f>
        <v>Lưu trữ trống rỗng.</v>
      </c>
      <c r="L116" s="26" t="str">
        <f ca="1">IFERROR(__xludf.DUMMYFUNCTION("GOOGLETRANSLATE(B116, ""en"", ""hr"")"),"Skladištenje je prazno.")</f>
        <v>Skladištenje je prazno.</v>
      </c>
      <c r="M116" s="28"/>
      <c r="N116" s="28"/>
      <c r="O116" s="28"/>
      <c r="P116" s="28"/>
      <c r="Q116" s="28"/>
      <c r="R116" s="28"/>
      <c r="S116" s="28"/>
      <c r="T116" s="28"/>
      <c r="U116" s="28"/>
      <c r="V116" s="28"/>
      <c r="W116" s="28"/>
      <c r="X116" s="28"/>
      <c r="Y116" s="28"/>
      <c r="Z116" s="28"/>
      <c r="AA116" s="28"/>
      <c r="AB116" s="28"/>
    </row>
    <row r="117" spans="1:28" ht="14" x14ac:dyDescent="0.15">
      <c r="A117" s="21" t="s">
        <v>256</v>
      </c>
      <c r="B117" s="22" t="s">
        <v>256</v>
      </c>
      <c r="C117" s="23" t="str">
        <f ca="1">IFERROR(__xludf.DUMMYFUNCTION("GOOGLETRANSLATE(B117, ""en"", ""fr"")"),"Verser")</f>
        <v>Verser</v>
      </c>
      <c r="D117" s="23" t="str">
        <f ca="1">IFERROR(__xludf.DUMMYFUNCTION("GOOGLETRANSLATE(B117, ""en"", ""es"")"),"Depositar")</f>
        <v>Depositar</v>
      </c>
      <c r="E117" s="23" t="str">
        <f ca="1">IFERROR(__xludf.DUMMYFUNCTION("GOOGLETRANSLATE(B117, ""en"", ""ru"")"),"Депозит")</f>
        <v>Депозит</v>
      </c>
      <c r="F117" s="23" t="str">
        <f ca="1">IFERROR(__xludf.DUMMYFUNCTION("GOOGLETRANSLATE(B117, ""en"", ""tr"")"),"Depozito")</f>
        <v>Depozito</v>
      </c>
      <c r="G117" s="23" t="str">
        <f ca="1">IFERROR(__xludf.DUMMYFUNCTION("GOOGLETRANSLATE(B117, ""en"", ""pt"")"),"Depósito")</f>
        <v>Depósito</v>
      </c>
      <c r="H117" s="24" t="str">
        <f ca="1">IFERROR(__xludf.DUMMYFUNCTION("GOOGLETRANSLATE(B117, ""en"", ""de"")"),"Anzahlung")</f>
        <v>Anzahlung</v>
      </c>
      <c r="I117" s="23" t="str">
        <f ca="1">IFERROR(__xludf.DUMMYFUNCTION("GOOGLETRANSLATE(B117, ""en"", ""pl"")"),"Depozyt")</f>
        <v>Depozyt</v>
      </c>
      <c r="J117" s="25" t="str">
        <f ca="1">IFERROR(__xludf.DUMMYFUNCTION("GOOGLETRANSLATE(B117, ""en"", ""zh"")"),"订金")</f>
        <v>订金</v>
      </c>
      <c r="K117" s="25" t="str">
        <f ca="1">IFERROR(__xludf.DUMMYFUNCTION("GOOGLETRANSLATE(B117, ""en"", ""vi"")"),"Gửi tiền")</f>
        <v>Gửi tiền</v>
      </c>
      <c r="L117" s="26" t="str">
        <f ca="1">IFERROR(__xludf.DUMMYFUNCTION("GOOGLETRANSLATE(B117, ""en"", ""hr"")"),"Polog")</f>
        <v>Polog</v>
      </c>
      <c r="M117" s="28"/>
      <c r="N117" s="28"/>
      <c r="O117" s="28"/>
      <c r="P117" s="28"/>
      <c r="Q117" s="28"/>
      <c r="R117" s="28"/>
      <c r="S117" s="28"/>
      <c r="T117" s="28"/>
      <c r="U117" s="28"/>
      <c r="V117" s="28"/>
      <c r="W117" s="28"/>
      <c r="X117" s="28"/>
      <c r="Y117" s="28"/>
      <c r="Z117" s="28"/>
      <c r="AA117" s="28"/>
      <c r="AB117" s="28"/>
    </row>
    <row r="118" spans="1:28" ht="14" x14ac:dyDescent="0.15">
      <c r="A118" s="21" t="s">
        <v>257</v>
      </c>
      <c r="B118" s="22" t="s">
        <v>241</v>
      </c>
      <c r="C118" s="23" t="str">
        <f ca="1">IFERROR(__xludf.DUMMYFUNCTION("GOOGLETRANSLATE(B118, ""en"", ""fr"")"),"Déposer tout")</f>
        <v>Déposer tout</v>
      </c>
      <c r="D118" s="23" t="str">
        <f ca="1">IFERROR(__xludf.DUMMYFUNCTION("GOOGLETRANSLATE(B118, ""en"", ""es"")"),"Depositar todo")</f>
        <v>Depositar todo</v>
      </c>
      <c r="E118" s="23" t="str">
        <f ca="1">IFERROR(__xludf.DUMMYFUNCTION("GOOGLETRANSLATE(B118, ""en"", ""ru"")"),"Депозит все")</f>
        <v>Депозит все</v>
      </c>
      <c r="F118" s="23" t="str">
        <f ca="1">IFERROR(__xludf.DUMMYFUNCTION("GOOGLETRANSLATE(B118, ""en"", ""tr"")"),"Hepsini yatırmak")</f>
        <v>Hepsini yatırmak</v>
      </c>
      <c r="G118" s="23" t="str">
        <f ca="1">IFERROR(__xludf.DUMMYFUNCTION("GOOGLETRANSLATE(B118, ""en"", ""pt"")"),"Depósito All.")</f>
        <v>Depósito All.</v>
      </c>
      <c r="H118" s="24" t="str">
        <f ca="1">IFERROR(__xludf.DUMMYFUNCTION("GOOGLETRANSLATE(B118, ""en"", ""de"")"),"Kaution All.")</f>
        <v>Kaution All.</v>
      </c>
      <c r="I118" s="23" t="str">
        <f ca="1">IFERROR(__xludf.DUMMYFUNCTION("GOOGLETRANSLATE(B118, ""en"", ""pl"")"),"Wpłać na wszystkie")</f>
        <v>Wpłać na wszystkie</v>
      </c>
      <c r="J118" s="25" t="str">
        <f ca="1">IFERROR(__xludf.DUMMYFUNCTION("GOOGLETRANSLATE(B118, ""en"", ""zh"")"),"存款所有")</f>
        <v>存款所有</v>
      </c>
      <c r="K118" s="25" t="str">
        <f ca="1">IFERROR(__xludf.DUMMYFUNCTION("GOOGLETRANSLATE(B118, ""en"", ""vi"")"),"Gửi tất cả")</f>
        <v>Gửi tất cả</v>
      </c>
      <c r="L118" s="26" t="str">
        <f ca="1">IFERROR(__xludf.DUMMYFUNCTION("GOOGLETRANSLATE(B118, ""en"", ""hr"")"),"Uplatite sve")</f>
        <v>Uplatite sve</v>
      </c>
      <c r="M118" s="28"/>
      <c r="N118" s="28"/>
      <c r="O118" s="28"/>
      <c r="P118" s="28"/>
      <c r="Q118" s="28"/>
      <c r="R118" s="28"/>
      <c r="S118" s="28"/>
      <c r="T118" s="28"/>
      <c r="U118" s="28"/>
      <c r="V118" s="28"/>
      <c r="W118" s="28"/>
      <c r="X118" s="28"/>
      <c r="Y118" s="28"/>
      <c r="Z118" s="28"/>
      <c r="AA118" s="28"/>
      <c r="AB118" s="28"/>
    </row>
    <row r="119" spans="1:28" ht="14" x14ac:dyDescent="0.15">
      <c r="A119" s="21" t="s">
        <v>258</v>
      </c>
      <c r="B119" s="22" t="s">
        <v>258</v>
      </c>
      <c r="C119" s="23" t="str">
        <f ca="1">IFERROR(__xludf.DUMMYFUNCTION("GOOGLETRANSLATE(B119, ""en"", ""fr"")"),"Se désister")</f>
        <v>Se désister</v>
      </c>
      <c r="D119" s="23" t="str">
        <f ca="1">IFERROR(__xludf.DUMMYFUNCTION("GOOGLETRANSLATE(B119, ""en"", ""es"")"),"Retirar")</f>
        <v>Retirar</v>
      </c>
      <c r="E119" s="23" t="str">
        <f ca="1">IFERROR(__xludf.DUMMYFUNCTION("GOOGLETRANSLATE(B119, ""en"", ""ru"")"),"Снять со счета")</f>
        <v>Снять со счета</v>
      </c>
      <c r="F119" s="23" t="str">
        <f ca="1">IFERROR(__xludf.DUMMYFUNCTION("GOOGLETRANSLATE(B119, ""en"", ""tr"")"),"Geri çekilmek")</f>
        <v>Geri çekilmek</v>
      </c>
      <c r="G119" s="23" t="str">
        <f ca="1">IFERROR(__xludf.DUMMYFUNCTION("GOOGLETRANSLATE(B119, ""en"", ""pt"")"),"Retirar")</f>
        <v>Retirar</v>
      </c>
      <c r="H119" s="24" t="str">
        <f ca="1">IFERROR(__xludf.DUMMYFUNCTION("GOOGLETRANSLATE(B119, ""en"", ""de"")"),"Zurückziehen")</f>
        <v>Zurückziehen</v>
      </c>
      <c r="I119" s="23" t="str">
        <f ca="1">IFERROR(__xludf.DUMMYFUNCTION("GOOGLETRANSLATE(B119, ""en"", ""pl"")"),"Wycofać")</f>
        <v>Wycofać</v>
      </c>
      <c r="J119" s="25" t="str">
        <f ca="1">IFERROR(__xludf.DUMMYFUNCTION("GOOGLETRANSLATE(B119, ""en"", ""zh"")"),"提取")</f>
        <v>提取</v>
      </c>
      <c r="K119" s="25" t="str">
        <f ca="1">IFERROR(__xludf.DUMMYFUNCTION("GOOGLETRANSLATE(B119, ""en"", ""vi"")"),"Rút")</f>
        <v>Rút</v>
      </c>
      <c r="L119" s="26" t="str">
        <f ca="1">IFERROR(__xludf.DUMMYFUNCTION("GOOGLETRANSLATE(B119, ""en"", ""hr"")"),"Povući")</f>
        <v>Povući</v>
      </c>
      <c r="M119" s="28"/>
      <c r="N119" s="28"/>
      <c r="O119" s="28"/>
      <c r="P119" s="28"/>
      <c r="Q119" s="28"/>
      <c r="R119" s="28"/>
      <c r="S119" s="28"/>
      <c r="T119" s="28"/>
      <c r="U119" s="28"/>
      <c r="V119" s="28"/>
      <c r="W119" s="28"/>
      <c r="X119" s="28"/>
      <c r="Y119" s="28"/>
      <c r="Z119" s="28"/>
      <c r="AA119" s="28"/>
      <c r="AB119" s="28"/>
    </row>
    <row r="120" spans="1:28" ht="14" x14ac:dyDescent="0.15">
      <c r="A120" s="21" t="s">
        <v>259</v>
      </c>
      <c r="B120" s="22" t="s">
        <v>260</v>
      </c>
      <c r="C120" s="23" t="str">
        <f ca="1">IFERROR(__xludf.DUMMYFUNCTION("GOOGLETRANSLATE(B120, ""en"", ""fr"")"),"Retirer tout")</f>
        <v>Retirer tout</v>
      </c>
      <c r="D120" s="23" t="str">
        <f ca="1">IFERROR(__xludf.DUMMYFUNCTION("GOOGLETRANSLATE(B120, ""en"", ""es"")"),"Retirar todo")</f>
        <v>Retirar todo</v>
      </c>
      <c r="E120" s="23" t="str">
        <f ca="1">IFERROR(__xludf.DUMMYFUNCTION("GOOGLETRANSLATE(B120, ""en"", ""ru"")"),"Вывести все")</f>
        <v>Вывести все</v>
      </c>
      <c r="F120" s="23" t="str">
        <f ca="1">IFERROR(__xludf.DUMMYFUNCTION("GOOGLETRANSLATE(B120, ""en"", ""tr"")"),"Hepsini geri çekmek")</f>
        <v>Hepsini geri çekmek</v>
      </c>
      <c r="G120" s="23" t="str">
        <f ca="1">IFERROR(__xludf.DUMMYFUNCTION("GOOGLETRANSLATE(B120, ""en"", ""pt"")"),"Retirar tudo")</f>
        <v>Retirar tudo</v>
      </c>
      <c r="H120" s="24" t="str">
        <f ca="1">IFERROR(__xludf.DUMMYFUNCTION("GOOGLETRANSLATE(B120, ""en"", ""de"")"),"Alles zurückziehen")</f>
        <v>Alles zurückziehen</v>
      </c>
      <c r="I120" s="23" t="str">
        <f ca="1">IFERROR(__xludf.DUMMYFUNCTION("GOOGLETRANSLATE(B120, ""en"", ""pl"")"),"Wycofaj się")</f>
        <v>Wycofaj się</v>
      </c>
      <c r="J120" s="25" t="str">
        <f ca="1">IFERROR(__xludf.DUMMYFUNCTION("GOOGLETRANSLATE(B120, ""en"", ""zh"")"),"撤回所有")</f>
        <v>撤回所有</v>
      </c>
      <c r="K120" s="25" t="str">
        <f ca="1">IFERROR(__xludf.DUMMYFUNCTION("GOOGLETRANSLATE(B120, ""en"", ""vi"")"),"Rút tất cả")</f>
        <v>Rút tất cả</v>
      </c>
      <c r="L120" s="26" t="str">
        <f ca="1">IFERROR(__xludf.DUMMYFUNCTION("GOOGLETRANSLATE(B120, ""en"", ""hr"")"),"Povući sve")</f>
        <v>Povući sve</v>
      </c>
      <c r="M120" s="28"/>
      <c r="N120" s="28"/>
      <c r="O120" s="28"/>
      <c r="P120" s="28"/>
      <c r="Q120" s="28"/>
      <c r="R120" s="28"/>
      <c r="S120" s="28"/>
      <c r="T120" s="28"/>
      <c r="U120" s="28"/>
      <c r="V120" s="28"/>
      <c r="W120" s="28"/>
      <c r="X120" s="28"/>
      <c r="Y120" s="28"/>
      <c r="Z120" s="28"/>
      <c r="AA120" s="28"/>
      <c r="AB120" s="28"/>
    </row>
    <row r="121" spans="1:28" ht="28" x14ac:dyDescent="0.15">
      <c r="A121" s="21" t="s">
        <v>261</v>
      </c>
      <c r="B121" s="22" t="s">
        <v>261</v>
      </c>
      <c r="C121" s="23" t="str">
        <f ca="1">IFERROR(__xludf.DUMMYFUNCTION("GOOGLETRANSLATE(B121, ""en"", ""fr"")"),"Pas assez d'espace libre")</f>
        <v>Pas assez d'espace libre</v>
      </c>
      <c r="D121" s="23" t="str">
        <f ca="1">IFERROR(__xludf.DUMMYFUNCTION("GOOGLETRANSLATE(B121, ""en"", ""es"")"),"No hay suficiente espacio libre")</f>
        <v>No hay suficiente espacio libre</v>
      </c>
      <c r="E121" s="23" t="str">
        <f ca="1">IFERROR(__xludf.DUMMYFUNCTION("GOOGLETRANSLATE(B121, ""en"", ""ru"")"),"Не хватает свободного места")</f>
        <v>Не хватает свободного места</v>
      </c>
      <c r="F121" s="23" t="str">
        <f ca="1">IFERROR(__xludf.DUMMYFUNCTION("GOOGLETRANSLATE(B121, ""en"", ""tr"")"),"Yeterince boş alan yok")</f>
        <v>Yeterince boş alan yok</v>
      </c>
      <c r="G121" s="23" t="str">
        <f ca="1">IFERROR(__xludf.DUMMYFUNCTION("GOOGLETRANSLATE(B121, ""en"", ""pt"")"),"Não há espaço livre suficiente")</f>
        <v>Não há espaço livre suficiente</v>
      </c>
      <c r="H121" s="24" t="str">
        <f ca="1">IFERROR(__xludf.DUMMYFUNCTION("GOOGLETRANSLATE(B121, ""en"", ""de"")"),"Nicht genügend freier Speicherplatz")</f>
        <v>Nicht genügend freier Speicherplatz</v>
      </c>
      <c r="I121" s="23" t="str">
        <f ca="1">IFERROR(__xludf.DUMMYFUNCTION("GOOGLETRANSLATE(B121, ""en"", ""pl"")"),"Za mało wolnej przestrzeni")</f>
        <v>Za mało wolnej przestrzeni</v>
      </c>
      <c r="J121" s="25" t="str">
        <f ca="1">IFERROR(__xludf.DUMMYFUNCTION("GOOGLETRANSLATE(B121, ""en"", ""zh"")"),"没有足够的自由空间")</f>
        <v>没有足够的自由空间</v>
      </c>
      <c r="K121" s="25" t="str">
        <f ca="1">IFERROR(__xludf.DUMMYFUNCTION("GOOGLETRANSLATE(B121, ""en"", ""vi"")"),"Không đủ chỗ trống")</f>
        <v>Không đủ chỗ trống</v>
      </c>
      <c r="L121" s="26" t="str">
        <f ca="1">IFERROR(__xludf.DUMMYFUNCTION("GOOGLETRANSLATE(B121, ""en"", ""hr"")"),"Nema dovoljno slobodnog prostora")</f>
        <v>Nema dovoljno slobodnog prostora</v>
      </c>
      <c r="M121" s="28"/>
      <c r="N121" s="28"/>
      <c r="O121" s="28"/>
      <c r="P121" s="28"/>
      <c r="Q121" s="28"/>
      <c r="R121" s="28"/>
      <c r="S121" s="28"/>
      <c r="T121" s="28"/>
      <c r="U121" s="28"/>
      <c r="V121" s="28"/>
      <c r="W121" s="28"/>
      <c r="X121" s="28"/>
      <c r="Y121" s="28"/>
      <c r="Z121" s="28"/>
      <c r="AA121" s="28"/>
      <c r="AB121" s="28"/>
    </row>
    <row r="122" spans="1:28" ht="14" x14ac:dyDescent="0.15">
      <c r="A122" s="21" t="s">
        <v>262</v>
      </c>
      <c r="B122" s="22" t="s">
        <v>151</v>
      </c>
      <c r="C122" s="23" t="str">
        <f ca="1">IFERROR(__xludf.DUMMYFUNCTION("GOOGLETRANSLATE(B122, ""en"", ""fr"")"),"Inventaire")</f>
        <v>Inventaire</v>
      </c>
      <c r="D122" s="23" t="str">
        <f ca="1">IFERROR(__xludf.DUMMYFUNCTION("GOOGLETRANSLATE(B122, ""en"", ""es"")"),"Inventario")</f>
        <v>Inventario</v>
      </c>
      <c r="E122" s="23" t="str">
        <f ca="1">IFERROR(__xludf.DUMMYFUNCTION("GOOGLETRANSLATE(B122, ""en"", ""ru"")"),"Инвентарь")</f>
        <v>Инвентарь</v>
      </c>
      <c r="F122" s="23" t="str">
        <f ca="1">IFERROR(__xludf.DUMMYFUNCTION("GOOGLETRANSLATE(B122, ""en"", ""tr"")"),"Envanter")</f>
        <v>Envanter</v>
      </c>
      <c r="G122" s="23" t="str">
        <f ca="1">IFERROR(__xludf.DUMMYFUNCTION("GOOGLETRANSLATE(B122, ""en"", ""pt"")"),"Inventário")</f>
        <v>Inventário</v>
      </c>
      <c r="H122" s="24" t="str">
        <f ca="1">IFERROR(__xludf.DUMMYFUNCTION("GOOGLETRANSLATE(B122, ""en"", ""de"")"),"Inventar")</f>
        <v>Inventar</v>
      </c>
      <c r="I122" s="23" t="str">
        <f ca="1">IFERROR(__xludf.DUMMYFUNCTION("GOOGLETRANSLATE(B122, ""en"", ""pl"")"),"Spis")</f>
        <v>Spis</v>
      </c>
      <c r="J122" s="25" t="str">
        <f ca="1">IFERROR(__xludf.DUMMYFUNCTION("GOOGLETRANSLATE(B122, ""en"", ""zh"")"),"存货")</f>
        <v>存货</v>
      </c>
      <c r="K122" s="25" t="str">
        <f ca="1">IFERROR(__xludf.DUMMYFUNCTION("GOOGLETRANSLATE(B122, ""en"", ""vi"")"),"Kiểm kê")</f>
        <v>Kiểm kê</v>
      </c>
      <c r="L122" s="26" t="str">
        <f ca="1">IFERROR(__xludf.DUMMYFUNCTION("GOOGLETRANSLATE(B122, ""en"", ""hr"")"),"Inventar")</f>
        <v>Inventar</v>
      </c>
      <c r="M122" s="28"/>
      <c r="N122" s="28"/>
      <c r="O122" s="28"/>
      <c r="P122" s="28"/>
      <c r="Q122" s="28"/>
      <c r="R122" s="28"/>
      <c r="S122" s="28"/>
      <c r="T122" s="28"/>
      <c r="U122" s="28"/>
      <c r="V122" s="28"/>
      <c r="W122" s="28"/>
      <c r="X122" s="28"/>
      <c r="Y122" s="28"/>
      <c r="Z122" s="28"/>
      <c r="AA122" s="28"/>
      <c r="AB122" s="28"/>
    </row>
    <row r="123" spans="1:28" ht="28" x14ac:dyDescent="0.15">
      <c r="A123" s="21" t="s">
        <v>263</v>
      </c>
      <c r="B123" s="22" t="s">
        <v>264</v>
      </c>
      <c r="C123" s="23" t="str">
        <f ca="1">IFERROR(__xludf.DUMMYFUNCTION("GOOGLETRANSLATE(B123, ""en"", ""fr"")"),"Poids total des stocks")</f>
        <v>Poids total des stocks</v>
      </c>
      <c r="D123" s="23" t="str">
        <f ca="1">IFERROR(__xludf.DUMMYFUNCTION("GOOGLETRANSLATE(B123, ""en"", ""es"")"),"Peso total del inventario")</f>
        <v>Peso total del inventario</v>
      </c>
      <c r="E123" s="23" t="str">
        <f ca="1">IFERROR(__xludf.DUMMYFUNCTION("GOOGLETRANSLATE(B123, ""en"", ""ru"")"),"Общий вес инвентаря")</f>
        <v>Общий вес инвентаря</v>
      </c>
      <c r="F123" s="23" t="str">
        <f ca="1">IFERROR(__xludf.DUMMYFUNCTION("GOOGLETRANSLATE(B123, ""en"", ""tr"")"),"Toplam Envanter Ağırlığı")</f>
        <v>Toplam Envanter Ağırlığı</v>
      </c>
      <c r="G123" s="23" t="str">
        <f ca="1">IFERROR(__xludf.DUMMYFUNCTION("GOOGLETRANSLATE(B123, ""en"", ""pt"")"),"Peso total de inventário")</f>
        <v>Peso total de inventário</v>
      </c>
      <c r="H123" s="24" t="str">
        <f ca="1">IFERROR(__xludf.DUMMYFUNCTION("GOOGLETRANSLATE(B123, ""en"", ""de"")"),"Gesamtgewicht des Inventars.")</f>
        <v>Gesamtgewicht des Inventars.</v>
      </c>
      <c r="I123" s="23" t="str">
        <f ca="1">IFERROR(__xludf.DUMMYFUNCTION("GOOGLETRANSLATE(B123, ""en"", ""pl"")"),"Całkowita waga zapasów")</f>
        <v>Całkowita waga zapasów</v>
      </c>
      <c r="J123" s="25" t="str">
        <f ca="1">IFERROR(__xludf.DUMMYFUNCTION("GOOGLETRANSLATE(B123, ""en"", ""zh"")"),"总库存重量")</f>
        <v>总库存重量</v>
      </c>
      <c r="K123" s="25" t="str">
        <f ca="1">IFERROR(__xludf.DUMMYFUNCTION("GOOGLETRANSLATE(B123, ""en"", ""vi"")"),"Tổng trọng lượng hàng tồn kho")</f>
        <v>Tổng trọng lượng hàng tồn kho</v>
      </c>
      <c r="L123" s="26" t="str">
        <f ca="1">IFERROR(__xludf.DUMMYFUNCTION("GOOGLETRANSLATE(B123, ""en"", ""hr"")"),"Ukupna težina inventara")</f>
        <v>Ukupna težina inventara</v>
      </c>
      <c r="M123" s="28"/>
      <c r="N123" s="28"/>
      <c r="O123" s="28"/>
      <c r="P123" s="28"/>
      <c r="Q123" s="28"/>
      <c r="R123" s="28"/>
      <c r="S123" s="28"/>
      <c r="T123" s="28"/>
      <c r="U123" s="28"/>
      <c r="V123" s="28"/>
      <c r="W123" s="28"/>
      <c r="X123" s="28"/>
      <c r="Y123" s="28"/>
      <c r="Z123" s="28"/>
      <c r="AA123" s="28"/>
      <c r="AB123" s="28"/>
    </row>
    <row r="124" spans="1:28" ht="14" x14ac:dyDescent="0.15">
      <c r="A124" s="21" t="s">
        <v>265</v>
      </c>
      <c r="B124" s="22" t="s">
        <v>266</v>
      </c>
      <c r="C124" s="23" t="str">
        <f ca="1">IFERROR(__xludf.DUMMYFUNCTION("GOOGLETRANSLATE(B124, ""en"", ""fr"")"),"Chercher")</f>
        <v>Chercher</v>
      </c>
      <c r="D124" s="23" t="str">
        <f ca="1">IFERROR(__xludf.DUMMYFUNCTION("GOOGLETRANSLATE(B124, ""en"", ""es"")"),"Buscar")</f>
        <v>Buscar</v>
      </c>
      <c r="E124" s="23" t="str">
        <f ca="1">IFERROR(__xludf.DUMMYFUNCTION("GOOGLETRANSLATE(B124, ""en"", ""ru"")"),"Поиск")</f>
        <v>Поиск</v>
      </c>
      <c r="F124" s="23" t="str">
        <f ca="1">IFERROR(__xludf.DUMMYFUNCTION("GOOGLETRANSLATE(B124, ""en"", ""tr"")"),"Arama")</f>
        <v>Arama</v>
      </c>
      <c r="G124" s="23" t="str">
        <f ca="1">IFERROR(__xludf.DUMMYFUNCTION("GOOGLETRANSLATE(B124, ""en"", ""pt"")"),"Procurar")</f>
        <v>Procurar</v>
      </c>
      <c r="H124" s="24" t="str">
        <f ca="1">IFERROR(__xludf.DUMMYFUNCTION("GOOGLETRANSLATE(B124, ""en"", ""de"")"),"Suche")</f>
        <v>Suche</v>
      </c>
      <c r="I124" s="23" t="str">
        <f ca="1">IFERROR(__xludf.DUMMYFUNCTION("GOOGLETRANSLATE(B124, ""en"", ""pl"")"),"Szukaj")</f>
        <v>Szukaj</v>
      </c>
      <c r="J124" s="25" t="str">
        <f ca="1">IFERROR(__xludf.DUMMYFUNCTION("GOOGLETRANSLATE(B124, ""en"", ""zh"")"),"搜索")</f>
        <v>搜索</v>
      </c>
      <c r="K124" s="25" t="str">
        <f ca="1">IFERROR(__xludf.DUMMYFUNCTION("GOOGLETRANSLATE(B124, ""en"", ""vi"")"),"Tìm kiếm")</f>
        <v>Tìm kiếm</v>
      </c>
      <c r="L124" s="26" t="str">
        <f ca="1">IFERROR(__xludf.DUMMYFUNCTION("GOOGLETRANSLATE(B124, ""en"", ""hr"")"),"traži")</f>
        <v>traži</v>
      </c>
      <c r="M124" s="28"/>
      <c r="N124" s="28"/>
      <c r="O124" s="28"/>
      <c r="P124" s="28"/>
      <c r="Q124" s="28"/>
      <c r="R124" s="28"/>
      <c r="S124" s="28"/>
      <c r="T124" s="28"/>
      <c r="U124" s="28"/>
      <c r="V124" s="28"/>
      <c r="W124" s="28"/>
      <c r="X124" s="28"/>
      <c r="Y124" s="28"/>
      <c r="Z124" s="28"/>
      <c r="AA124" s="28"/>
      <c r="AB124" s="28"/>
    </row>
    <row r="125" spans="1:28" ht="28" x14ac:dyDescent="0.15">
      <c r="A125" s="21" t="s">
        <v>267</v>
      </c>
      <c r="B125" s="22" t="s">
        <v>268</v>
      </c>
      <c r="C125" s="23" t="str">
        <f ca="1">IFERROR(__xludf.DUMMYFUNCTION("GOOGLETRANSLATE(B125, ""en"", ""fr"")"),"L'inventaire est vide.")</f>
        <v>L'inventaire est vide.</v>
      </c>
      <c r="D125" s="23" t="str">
        <f ca="1">IFERROR(__xludf.DUMMYFUNCTION("GOOGLETRANSLATE(B125, ""en"", ""es"")"),"El inventario está vacío.")</f>
        <v>El inventario está vacío.</v>
      </c>
      <c r="E125" s="23" t="str">
        <f ca="1">IFERROR(__xludf.DUMMYFUNCTION("GOOGLETRANSLATE(B125, ""en"", ""ru"")"),"Инвентарь пуст.")</f>
        <v>Инвентарь пуст.</v>
      </c>
      <c r="F125" s="23" t="str">
        <f ca="1">IFERROR(__xludf.DUMMYFUNCTION("GOOGLETRANSLATE(B125, ""en"", ""tr"")"),"Envanter boş.")</f>
        <v>Envanter boş.</v>
      </c>
      <c r="G125" s="23" t="str">
        <f ca="1">IFERROR(__xludf.DUMMYFUNCTION("GOOGLETRANSLATE(B125, ""en"", ""pt"")"),"O inventário está vazio.")</f>
        <v>O inventário está vazio.</v>
      </c>
      <c r="H125" s="24" t="str">
        <f ca="1">IFERROR(__xludf.DUMMYFUNCTION("GOOGLETRANSLATE(B125, ""en"", ""de"")"),"Inventar ist leer.")</f>
        <v>Inventar ist leer.</v>
      </c>
      <c r="I125" s="23" t="str">
        <f ca="1">IFERROR(__xludf.DUMMYFUNCTION("GOOGLETRANSLATE(B125, ""en"", ""pl"")"),"Inwentaryzacja jest pusta.")</f>
        <v>Inwentaryzacja jest pusta.</v>
      </c>
      <c r="J125" s="25" t="str">
        <f ca="1">IFERROR(__xludf.DUMMYFUNCTION("GOOGLETRANSLATE(B125, ""en"", ""zh"")"),"库存是空的。")</f>
        <v>库存是空的。</v>
      </c>
      <c r="K125" s="25" t="str">
        <f ca="1">IFERROR(__xludf.DUMMYFUNCTION("GOOGLETRANSLATE(B125, ""en"", ""vi"")"),"Hàng tồn kho là trống rỗng.")</f>
        <v>Hàng tồn kho là trống rỗng.</v>
      </c>
      <c r="L125" s="26" t="str">
        <f ca="1">IFERROR(__xludf.DUMMYFUNCTION("GOOGLETRANSLATE(B125, ""en"", ""hr"")"),"Inventar je prazan.")</f>
        <v>Inventar je prazan.</v>
      </c>
      <c r="M125" s="28"/>
      <c r="N125" s="28"/>
      <c r="O125" s="28"/>
      <c r="P125" s="28"/>
      <c r="Q125" s="28"/>
      <c r="R125" s="28"/>
      <c r="S125" s="28"/>
      <c r="T125" s="28"/>
      <c r="U125" s="28"/>
      <c r="V125" s="28"/>
      <c r="W125" s="28"/>
      <c r="X125" s="28"/>
      <c r="Y125" s="28"/>
      <c r="Z125" s="28"/>
      <c r="AA125" s="28"/>
      <c r="AB125" s="28"/>
    </row>
    <row r="126" spans="1:28" ht="28" x14ac:dyDescent="0.15">
      <c r="A126" s="21" t="s">
        <v>269</v>
      </c>
      <c r="B126" s="22" t="s">
        <v>269</v>
      </c>
      <c r="C126" s="23" t="str">
        <f ca="1">IFERROR(__xludf.DUMMYFUNCTION("GOOGLETRANSLATE(B126, ""en"", ""fr"")"),"Supprimer de la barre Hot")</f>
        <v>Supprimer de la barre Hot</v>
      </c>
      <c r="D126" s="23" t="str">
        <f ca="1">IFERROR(__xludf.DUMMYFUNCTION("GOOGLETRANSLATE(B126, ""en"", ""es"")"),"Eliminar de Hotbar")</f>
        <v>Eliminar de Hotbar</v>
      </c>
      <c r="E126" s="23" t="str">
        <f ca="1">IFERROR(__xludf.DUMMYFUNCTION("GOOGLETRANSLATE(B126, ""en"", ""ru"")"),"Удалить из hotbar")</f>
        <v>Удалить из hotbar</v>
      </c>
      <c r="F126" s="23" t="str">
        <f ca="1">IFERROR(__xludf.DUMMYFUNCTION("GOOGLETRANSLATE(B126, ""en"", ""tr"")"),"Hotbar'dan kaldır")</f>
        <v>Hotbar'dan kaldır</v>
      </c>
      <c r="G126" s="23" t="str">
        <f ca="1">IFERROR(__xludf.DUMMYFUNCTION("GOOGLETRANSLATE(B126, ""en"", ""pt"")"),"Remover do Hotbar.")</f>
        <v>Remover do Hotbar.</v>
      </c>
      <c r="H126" s="24" t="str">
        <f ca="1">IFERROR(__xludf.DUMMYFUNCTION("GOOGLETRANSLATE(B126, ""en"", ""de"")"),"Aus der Hotbar entfernen.")</f>
        <v>Aus der Hotbar entfernen.</v>
      </c>
      <c r="I126" s="23" t="str">
        <f ca="1">IFERROR(__xludf.DUMMYFUNCTION("GOOGLETRANSLATE(B126, ""en"", ""pl"")"),"Usuń z Hotbar.")</f>
        <v>Usuń z Hotbar.</v>
      </c>
      <c r="J126" s="25" t="str">
        <f ca="1">IFERROR(__xludf.DUMMYFUNCTION("GOOGLETRANSLATE(B126, ""en"", ""zh"")"),"从hotbar中删除")</f>
        <v>从hotbar中删除</v>
      </c>
      <c r="K126" s="25" t="str">
        <f ca="1">IFERROR(__xludf.DUMMYFUNCTION("GOOGLETRANSLATE(B126, ""en"", ""vi"")"),"Xóa khỏi Hotbar.")</f>
        <v>Xóa khỏi Hotbar.</v>
      </c>
      <c r="L126" s="26" t="str">
        <f ca="1">IFERROR(__xludf.DUMMYFUNCTION("GOOGLETRANSLATE(B126, ""en"", ""hr"")"),"Uklonite s Hotbar")</f>
        <v>Uklonite s Hotbar</v>
      </c>
      <c r="M126" s="28"/>
      <c r="N126" s="28"/>
      <c r="O126" s="28"/>
      <c r="P126" s="28"/>
      <c r="Q126" s="28"/>
      <c r="R126" s="28"/>
      <c r="S126" s="28"/>
      <c r="T126" s="28"/>
      <c r="U126" s="28"/>
      <c r="V126" s="28"/>
      <c r="W126" s="28"/>
      <c r="X126" s="28"/>
      <c r="Y126" s="28"/>
      <c r="Z126" s="28"/>
      <c r="AA126" s="28"/>
      <c r="AB126" s="28"/>
    </row>
    <row r="127" spans="1:28" ht="14" x14ac:dyDescent="0.15">
      <c r="A127" s="21" t="s">
        <v>270</v>
      </c>
      <c r="B127" s="22" t="s">
        <v>270</v>
      </c>
      <c r="C127" s="23" t="str">
        <f ca="1">IFERROR(__xludf.DUMMYFUNCTION("GOOGLETRANSLATE(B127, ""en"", ""fr"")"),"Barre de chaleur pleine")</f>
        <v>Barre de chaleur pleine</v>
      </c>
      <c r="D127" s="23" t="str">
        <f ca="1">IFERROR(__xludf.DUMMYFUNCTION("GOOGLETRANSLATE(B127, ""en"", ""es"")"),"Hotbar lleno")</f>
        <v>Hotbar lleno</v>
      </c>
      <c r="E127" s="23" t="str">
        <f ca="1">IFERROR(__xludf.DUMMYFUNCTION("GOOGLETRANSLATE(B127, ""en"", ""ru"")"),"Hotbar полный")</f>
        <v>Hotbar полный</v>
      </c>
      <c r="F127" s="23" t="str">
        <f ca="1">IFERROR(__xludf.DUMMYFUNCTION("GOOGLETRANSLATE(B127, ""en"", ""tr"")"),"Hotbar dolu")</f>
        <v>Hotbar dolu</v>
      </c>
      <c r="G127" s="23" t="str">
        <f ca="1">IFERROR(__xludf.DUMMYFUNCTION("GOOGLETRANSLATE(B127, ""en"", ""pt"")"),"Hotbar cheio")</f>
        <v>Hotbar cheio</v>
      </c>
      <c r="H127" s="24" t="str">
        <f ca="1">IFERROR(__xludf.DUMMYFUNCTION("GOOGLETRANSLATE(B127, ""en"", ""de"")"),"Hotbar Full.")</f>
        <v>Hotbar Full.</v>
      </c>
      <c r="I127" s="23" t="str">
        <f ca="1">IFERROR(__xludf.DUMMYFUNCTION("GOOGLETRANSLATE(B127, ""en"", ""pl"")"),"Hotbar Full.")</f>
        <v>Hotbar Full.</v>
      </c>
      <c r="J127" s="25" t="str">
        <f ca="1">IFERROR(__xludf.DUMMYFUNCTION("GOOGLETRANSLATE(B127, ""en"", ""zh"")"),"Hotbar Full.")</f>
        <v>Hotbar Full.</v>
      </c>
      <c r="K127" s="25" t="str">
        <f ca="1">IFERROR(__xludf.DUMMYFUNCTION("GOOGLETRANSLATE(B127, ""en"", ""vi"")"),"Hotbar đầy đủ")</f>
        <v>Hotbar đầy đủ</v>
      </c>
      <c r="L127" s="26" t="str">
        <f ca="1">IFERROR(__xludf.DUMMYFUNCTION("GOOGLETRANSLATE(B127, ""en"", ""hr"")"),"Hotbar pun")</f>
        <v>Hotbar pun</v>
      </c>
      <c r="M127" s="28"/>
      <c r="N127" s="28"/>
      <c r="O127" s="28"/>
      <c r="P127" s="28"/>
      <c r="Q127" s="28"/>
      <c r="R127" s="28"/>
      <c r="S127" s="28"/>
      <c r="T127" s="28"/>
      <c r="U127" s="28"/>
      <c r="V127" s="28"/>
      <c r="W127" s="28"/>
      <c r="X127" s="28"/>
      <c r="Y127" s="28"/>
      <c r="Z127" s="28"/>
      <c r="AA127" s="28"/>
      <c r="AB127" s="28"/>
    </row>
    <row r="128" spans="1:28" ht="14" x14ac:dyDescent="0.15">
      <c r="A128" s="21" t="s">
        <v>271</v>
      </c>
      <c r="B128" s="22" t="s">
        <v>271</v>
      </c>
      <c r="C128" s="23" t="str">
        <f ca="1">IFERROR(__xludf.DUMMYFUNCTION("GOOGLETRANSLATE(B128, ""en"", ""fr"")"),"Ajouter à HotBar")</f>
        <v>Ajouter à HotBar</v>
      </c>
      <c r="D128" s="23" t="str">
        <f ca="1">IFERROR(__xludf.DUMMYFUNCTION("GOOGLETRANSLATE(B128, ""en"", ""es"")"),"Añadir a Hotbar")</f>
        <v>Añadir a Hotbar</v>
      </c>
      <c r="E128" s="23" t="str">
        <f ca="1">IFERROR(__xludf.DUMMYFUNCTION("GOOGLETRANSLATE(B128, ""en"", ""ru"")"),"Добавить в HotBar")</f>
        <v>Добавить в HotBar</v>
      </c>
      <c r="F128" s="23" t="str">
        <f ca="1">IFERROR(__xludf.DUMMYFUNCTION("GOOGLETRANSLATE(B128, ""en"", ""tr"")"),"Hotbar'a ekle")</f>
        <v>Hotbar'a ekle</v>
      </c>
      <c r="G128" s="23" t="str">
        <f ca="1">IFERROR(__xludf.DUMMYFUNCTION("GOOGLETRANSLATE(B128, ""en"", ""pt"")"),"Adicionar ao Hotbar.")</f>
        <v>Adicionar ao Hotbar.</v>
      </c>
      <c r="H128" s="24" t="str">
        <f ca="1">IFERROR(__xludf.DUMMYFUNCTION("GOOGLETRANSLATE(B128, ""en"", ""de"")"),"Zu Hotbar hinzufügen")</f>
        <v>Zu Hotbar hinzufügen</v>
      </c>
      <c r="I128" s="23" t="str">
        <f ca="1">IFERROR(__xludf.DUMMYFUNCTION("GOOGLETRANSLATE(B128, ""en"", ""pl"")"),"Dodaj do Hotbar.")</f>
        <v>Dodaj do Hotbar.</v>
      </c>
      <c r="J128" s="25" t="str">
        <f ca="1">IFERROR(__xludf.DUMMYFUNCTION("GOOGLETRANSLATE(B128, ""en"", ""zh"")"),"添加到Hotbar.")</f>
        <v>添加到Hotbar.</v>
      </c>
      <c r="K128" s="25" t="str">
        <f ca="1">IFERROR(__xludf.DUMMYFUNCTION("GOOGLETRANSLATE(B128, ""en"", ""vi"")"),"Thêm vào thanh nóng")</f>
        <v>Thêm vào thanh nóng</v>
      </c>
      <c r="L128" s="26" t="str">
        <f ca="1">IFERROR(__xludf.DUMMYFUNCTION("GOOGLETRANSLATE(B128, ""en"", ""hr"")"),"Dodajte na vruću traku")</f>
        <v>Dodajte na vruću traku</v>
      </c>
      <c r="M128" s="28"/>
      <c r="N128" s="28"/>
      <c r="O128" s="28"/>
      <c r="P128" s="28"/>
      <c r="Q128" s="28"/>
      <c r="R128" s="28"/>
      <c r="S128" s="28"/>
      <c r="T128" s="28"/>
      <c r="U128" s="28"/>
      <c r="V128" s="28"/>
      <c r="W128" s="28"/>
      <c r="X128" s="28"/>
      <c r="Y128" s="28"/>
      <c r="Z128" s="28"/>
      <c r="AA128" s="28"/>
      <c r="AB128" s="28"/>
    </row>
    <row r="129" spans="1:28" ht="28" x14ac:dyDescent="0.15">
      <c r="A129" s="21" t="s">
        <v>272</v>
      </c>
      <c r="B129" s="22" t="s">
        <v>272</v>
      </c>
      <c r="C129" s="23" t="str">
        <f ca="1">IFERROR(__xludf.DUMMYFUNCTION("GOOGLETRANSLATE(B129, ""en"", ""fr"")"),"Équipement rapide")</f>
        <v>Équipement rapide</v>
      </c>
      <c r="D129" s="23" t="str">
        <f ca="1">IFERROR(__xludf.DUMMYFUNCTION("GOOGLETRANSLATE(B129, ""en"", ""es"")"),"Equipamiento rápido")</f>
        <v>Equipamiento rápido</v>
      </c>
      <c r="E129" s="23" t="str">
        <f ca="1">IFERROR(__xludf.DUMMYFUNCTION("GOOGLETRANSLATE(B129, ""en"", ""ru"")"),"Быстрое оборудование")</f>
        <v>Быстрое оборудование</v>
      </c>
      <c r="F129" s="23" t="str">
        <f ca="1">IFERROR(__xludf.DUMMYFUNCTION("GOOGLETRANSLATE(B129, ""en"", ""tr"")"),"Hızlı donatmak")</f>
        <v>Hızlı donatmak</v>
      </c>
      <c r="G129" s="23" t="str">
        <f ca="1">IFERROR(__xludf.DUMMYFUNCTION("GOOGLETRANSLATE(B129, ""en"", ""pt"")"),"Equipador rápido.")</f>
        <v>Equipador rápido.</v>
      </c>
      <c r="H129" s="24" t="str">
        <f ca="1">IFERROR(__xludf.DUMMYFUNCTION("GOOGLETRANSLATE(B129, ""en"", ""de"")"),"Schnelle Ausrüstung")</f>
        <v>Schnelle Ausrüstung</v>
      </c>
      <c r="I129" s="23" t="str">
        <f ca="1">IFERROR(__xludf.DUMMYFUNCTION("GOOGLETRANSLATE(B129, ""en"", ""pl"")"),"Szybki Equip.")</f>
        <v>Szybki Equip.</v>
      </c>
      <c r="J129" s="25" t="str">
        <f ca="1">IFERROR(__xludf.DUMMYFUNCTION("GOOGLETRANSLATE(B129, ""en"", ""zh"")"),"快速装备")</f>
        <v>快速装备</v>
      </c>
      <c r="K129" s="25" t="str">
        <f ca="1">IFERROR(__xludf.DUMMYFUNCTION("GOOGLETRANSLATE(B129, ""en"", ""vi"")"),"Trang bị nhanh")</f>
        <v>Trang bị nhanh</v>
      </c>
      <c r="L129" s="26" t="str">
        <f ca="1">IFERROR(__xludf.DUMMYFUNCTION("GOOGLETRANSLATE(B129, ""en"", ""hr"")"),"Brza oprema")</f>
        <v>Brza oprema</v>
      </c>
      <c r="M129" s="28"/>
      <c r="N129" s="28"/>
      <c r="O129" s="28"/>
      <c r="P129" s="28"/>
      <c r="Q129" s="28"/>
      <c r="R129" s="28"/>
      <c r="S129" s="28"/>
      <c r="T129" s="28"/>
      <c r="U129" s="28"/>
      <c r="V129" s="28"/>
      <c r="W129" s="28"/>
      <c r="X129" s="28"/>
      <c r="Y129" s="28"/>
      <c r="Z129" s="28"/>
      <c r="AA129" s="28"/>
      <c r="AB129" s="28"/>
    </row>
    <row r="130" spans="1:28" ht="28" x14ac:dyDescent="0.15">
      <c r="A130" s="21" t="s">
        <v>273</v>
      </c>
      <c r="B130" s="22" t="s">
        <v>273</v>
      </c>
      <c r="C130" s="23" t="str">
        <f ca="1">IFERROR(__xludf.DUMMYFUNCTION("GOOGLETRANSLATE(B130, ""en"", ""fr"")"),"Usage rapide")</f>
        <v>Usage rapide</v>
      </c>
      <c r="D130" s="23" t="str">
        <f ca="1">IFERROR(__xludf.DUMMYFUNCTION("GOOGLETRANSLATE(B130, ""en"", ""es"")"),"Uso rápido")</f>
        <v>Uso rápido</v>
      </c>
      <c r="E130" s="23" t="str">
        <f ca="1">IFERROR(__xludf.DUMMYFUNCTION("GOOGLETRANSLATE(B130, ""en"", ""ru"")"),"Быстрое использование")</f>
        <v>Быстрое использование</v>
      </c>
      <c r="F130" s="23" t="str">
        <f ca="1">IFERROR(__xludf.DUMMYFUNCTION("GOOGLETRANSLATE(B130, ""en"", ""tr"")"),"Hızlı kullanım")</f>
        <v>Hızlı kullanım</v>
      </c>
      <c r="G130" s="23" t="str">
        <f ca="1">IFERROR(__xludf.DUMMYFUNCTION("GOOGLETRANSLATE(B130, ""en"", ""pt"")"),"Uso rápido")</f>
        <v>Uso rápido</v>
      </c>
      <c r="H130" s="24" t="str">
        <f ca="1">IFERROR(__xludf.DUMMYFUNCTION("GOOGLETRANSLATE(B130, ""en"", ""de"")"),"Schnelle Verwendung")</f>
        <v>Schnelle Verwendung</v>
      </c>
      <c r="I130" s="23" t="str">
        <f ca="1">IFERROR(__xludf.DUMMYFUNCTION("GOOGLETRANSLATE(B130, ""en"", ""pl"")"),"Szybkie użycie")</f>
        <v>Szybkie użycie</v>
      </c>
      <c r="J130" s="25" t="str">
        <f ca="1">IFERROR(__xludf.DUMMYFUNCTION("GOOGLETRANSLATE(B130, ""en"", ""zh"")"),"快速使用")</f>
        <v>快速使用</v>
      </c>
      <c r="K130" s="25" t="str">
        <f ca="1">IFERROR(__xludf.DUMMYFUNCTION("GOOGLETRANSLATE(B130, ""en"", ""vi"")"),"Sử dụng nhanh chóng")</f>
        <v>Sử dụng nhanh chóng</v>
      </c>
      <c r="L130" s="26" t="str">
        <f ca="1">IFERROR(__xludf.DUMMYFUNCTION("GOOGLETRANSLATE(B130, ""en"", ""hr"")"),"Brzo korištenje")</f>
        <v>Brzo korištenje</v>
      </c>
      <c r="M130" s="28"/>
      <c r="N130" s="28"/>
      <c r="O130" s="28"/>
      <c r="P130" s="28"/>
      <c r="Q130" s="28"/>
      <c r="R130" s="28"/>
      <c r="S130" s="28"/>
      <c r="T130" s="28"/>
      <c r="U130" s="28"/>
      <c r="V130" s="28"/>
      <c r="W130" s="28"/>
      <c r="X130" s="28"/>
      <c r="Y130" s="28"/>
      <c r="Z130" s="28"/>
      <c r="AA130" s="28"/>
      <c r="AB130" s="28"/>
    </row>
    <row r="131" spans="1:28" ht="14" x14ac:dyDescent="0.15">
      <c r="A131" s="21" t="s">
        <v>274</v>
      </c>
      <c r="B131" s="22" t="s">
        <v>274</v>
      </c>
      <c r="C131" s="23" t="str">
        <f ca="1">IFERROR(__xludf.DUMMYFUNCTION("GOOGLETRANSLATE(B131, ""en"", ""fr"")"),"Tomber")</f>
        <v>Tomber</v>
      </c>
      <c r="D131" s="23" t="str">
        <f ca="1">IFERROR(__xludf.DUMMYFUNCTION("GOOGLETRANSLATE(B131, ""en"", ""es"")"),"Soltar")</f>
        <v>Soltar</v>
      </c>
      <c r="E131" s="23" t="str">
        <f ca="1">IFERROR(__xludf.DUMMYFUNCTION("GOOGLETRANSLATE(B131, ""en"", ""ru"")"),"Уронить")</f>
        <v>Уронить</v>
      </c>
      <c r="F131" s="23" t="str">
        <f ca="1">IFERROR(__xludf.DUMMYFUNCTION("GOOGLETRANSLATE(B131, ""en"", ""tr"")"),"Düşürmek")</f>
        <v>Düşürmek</v>
      </c>
      <c r="G131" s="23" t="str">
        <f ca="1">IFERROR(__xludf.DUMMYFUNCTION("GOOGLETRANSLATE(B131, ""en"", ""pt"")"),"Derrubar")</f>
        <v>Derrubar</v>
      </c>
      <c r="H131" s="24" t="str">
        <f ca="1">IFERROR(__xludf.DUMMYFUNCTION("GOOGLETRANSLATE(B131, ""en"", ""de"")"),"Tropfen")</f>
        <v>Tropfen</v>
      </c>
      <c r="I131" s="23" t="str">
        <f ca="1">IFERROR(__xludf.DUMMYFUNCTION("GOOGLETRANSLATE(B131, ""en"", ""pl"")"),"Upuszczać")</f>
        <v>Upuszczać</v>
      </c>
      <c r="J131" s="25" t="str">
        <f ca="1">IFERROR(__xludf.DUMMYFUNCTION("GOOGLETRANSLATE(B131, ""en"", ""zh"")"),"降低")</f>
        <v>降低</v>
      </c>
      <c r="K131" s="25" t="str">
        <f ca="1">IFERROR(__xludf.DUMMYFUNCTION("GOOGLETRANSLATE(B131, ""en"", ""vi"")"),"Rơi vãi")</f>
        <v>Rơi vãi</v>
      </c>
      <c r="L131" s="26" t="str">
        <f ca="1">IFERROR(__xludf.DUMMYFUNCTION("GOOGLETRANSLATE(B131, ""en"", ""hr"")"),"Pad")</f>
        <v>Pad</v>
      </c>
      <c r="M131" s="28"/>
      <c r="N131" s="28"/>
      <c r="O131" s="28"/>
      <c r="P131" s="28"/>
      <c r="Q131" s="28"/>
      <c r="R131" s="28"/>
      <c r="S131" s="28"/>
      <c r="T131" s="28"/>
      <c r="U131" s="28"/>
      <c r="V131" s="28"/>
      <c r="W131" s="28"/>
      <c r="X131" s="28"/>
      <c r="Y131" s="28"/>
      <c r="Z131" s="28"/>
      <c r="AA131" s="28"/>
      <c r="AB131" s="28"/>
    </row>
    <row r="132" spans="1:28" ht="14" x14ac:dyDescent="0.15">
      <c r="A132" s="21" t="s">
        <v>275</v>
      </c>
      <c r="B132" s="22" t="s">
        <v>276</v>
      </c>
      <c r="C132" s="23" t="str">
        <f ca="1">IFERROR(__xludf.DUMMYFUNCTION("GOOGLETRANSLATE(B132, ""en"", ""fr"")"),"Laisser tomber tout")</f>
        <v>Laisser tomber tout</v>
      </c>
      <c r="D132" s="23" t="str">
        <f ca="1">IFERROR(__xludf.DUMMYFUNCTION("GOOGLETRANSLATE(B132, ""en"", ""es"")"),"Caer todo")</f>
        <v>Caer todo</v>
      </c>
      <c r="E132" s="23" t="str">
        <f ca="1">IFERROR(__xludf.DUMMYFUNCTION("GOOGLETRANSLATE(B132, ""en"", ""ru"")"),"Падение все")</f>
        <v>Падение все</v>
      </c>
      <c r="F132" s="23" t="str">
        <f ca="1">IFERROR(__xludf.DUMMYFUNCTION("GOOGLETRANSLATE(B132, ""en"", ""tr"")"),"Hepsini düşürmek")</f>
        <v>Hepsini düşürmek</v>
      </c>
      <c r="G132" s="23" t="str">
        <f ca="1">IFERROR(__xludf.DUMMYFUNCTION("GOOGLETRANSLATE(B132, ""en"", ""pt"")"),"Drop All.")</f>
        <v>Drop All.</v>
      </c>
      <c r="H132" s="24" t="str">
        <f ca="1">IFERROR(__xludf.DUMMYFUNCTION("GOOGLETRANSLATE(B132, ""en"", ""de"")"),"Alles fallen lassen.")</f>
        <v>Alles fallen lassen.</v>
      </c>
      <c r="I132" s="23" t="str">
        <f ca="1">IFERROR(__xludf.DUMMYFUNCTION("GOOGLETRANSLATE(B132, ""en"", ""pl"")"),"Upuść wszystko")</f>
        <v>Upuść wszystko</v>
      </c>
      <c r="J132" s="25" t="str">
        <f ca="1">IFERROR(__xludf.DUMMYFUNCTION("GOOGLETRANSLATE(B132, ""en"", ""zh"")"),"放下所有")</f>
        <v>放下所有</v>
      </c>
      <c r="K132" s="25" t="str">
        <f ca="1">IFERROR(__xludf.DUMMYFUNCTION("GOOGLETRANSLATE(B132, ""en"", ""vi"")"),"Thả tất cả")</f>
        <v>Thả tất cả</v>
      </c>
      <c r="L132" s="26" t="str">
        <f ca="1">IFERROR(__xludf.DUMMYFUNCTION("GOOGLETRANSLATE(B132, ""en"", ""hr"")"),"Spustiti sve")</f>
        <v>Spustiti sve</v>
      </c>
      <c r="M132" s="28"/>
      <c r="N132" s="28"/>
      <c r="O132" s="28"/>
      <c r="P132" s="28"/>
      <c r="Q132" s="28"/>
      <c r="R132" s="28"/>
      <c r="S132" s="28"/>
      <c r="T132" s="28"/>
      <c r="U132" s="28"/>
      <c r="V132" s="28"/>
      <c r="W132" s="28"/>
      <c r="X132" s="28"/>
      <c r="Y132" s="28"/>
      <c r="Z132" s="28"/>
      <c r="AA132" s="28"/>
      <c r="AB132" s="28"/>
    </row>
    <row r="133" spans="1:28" ht="14" x14ac:dyDescent="0.15">
      <c r="A133" s="21" t="s">
        <v>277</v>
      </c>
      <c r="B133" s="22" t="s">
        <v>277</v>
      </c>
      <c r="C133" s="23" t="str">
        <f ca="1">IFERROR(__xludf.DUMMYFUNCTION("GOOGLETRANSLATE(B133, ""en"", ""fr"")"),"Poids")</f>
        <v>Poids</v>
      </c>
      <c r="D133" s="23" t="str">
        <f ca="1">IFERROR(__xludf.DUMMYFUNCTION("GOOGLETRANSLATE(B133, ""en"", ""es"")"),"Peso")</f>
        <v>Peso</v>
      </c>
      <c r="E133" s="23" t="str">
        <f ca="1">IFERROR(__xludf.DUMMYFUNCTION("GOOGLETRANSLATE(B133, ""en"", ""ru"")"),"Масса")</f>
        <v>Масса</v>
      </c>
      <c r="F133" s="23" t="str">
        <f ca="1">IFERROR(__xludf.DUMMYFUNCTION("GOOGLETRANSLATE(B133, ""en"", ""tr"")"),"Ağırlık")</f>
        <v>Ağırlık</v>
      </c>
      <c r="G133" s="23" t="str">
        <f ca="1">IFERROR(__xludf.DUMMYFUNCTION("GOOGLETRANSLATE(B133, ""en"", ""pt"")"),"Peso")</f>
        <v>Peso</v>
      </c>
      <c r="H133" s="24" t="str">
        <f ca="1">IFERROR(__xludf.DUMMYFUNCTION("GOOGLETRANSLATE(B133, ""en"", ""de"")"),"Gewicht")</f>
        <v>Gewicht</v>
      </c>
      <c r="I133" s="23" t="str">
        <f ca="1">IFERROR(__xludf.DUMMYFUNCTION("GOOGLETRANSLATE(B133, ""en"", ""pl"")"),"Waga")</f>
        <v>Waga</v>
      </c>
      <c r="J133" s="25" t="str">
        <f ca="1">IFERROR(__xludf.DUMMYFUNCTION("GOOGLETRANSLATE(B133, ""en"", ""zh"")"),"重量")</f>
        <v>重量</v>
      </c>
      <c r="K133" s="25" t="str">
        <f ca="1">IFERROR(__xludf.DUMMYFUNCTION("GOOGLETRANSLATE(B133, ""en"", ""vi"")"),"Cân nặng")</f>
        <v>Cân nặng</v>
      </c>
      <c r="L133" s="26" t="str">
        <f ca="1">IFERROR(__xludf.DUMMYFUNCTION("GOOGLETRANSLATE(B133, ""en"", ""hr"")"),"Težina")</f>
        <v>Težina</v>
      </c>
      <c r="M133" s="28"/>
      <c r="N133" s="28"/>
      <c r="O133" s="28"/>
      <c r="P133" s="28"/>
      <c r="Q133" s="28"/>
      <c r="R133" s="28"/>
      <c r="S133" s="28"/>
      <c r="T133" s="28"/>
      <c r="U133" s="28"/>
      <c r="V133" s="28"/>
      <c r="W133" s="28"/>
      <c r="X133" s="28"/>
      <c r="Y133" s="28"/>
      <c r="Z133" s="28"/>
      <c r="AA133" s="28"/>
      <c r="AB133" s="28"/>
    </row>
    <row r="134" spans="1:28" ht="28" x14ac:dyDescent="0.15">
      <c r="A134" s="21" t="s">
        <v>278</v>
      </c>
      <c r="B134" s="22" t="s">
        <v>278</v>
      </c>
      <c r="C134" s="23" t="str">
        <f ca="1">IFERROR(__xludf.DUMMYFUNCTION("GOOGLETRANSLATE(B134, ""en"", ""fr"")"),"Afficher les détails de l'article")</f>
        <v>Afficher les détails de l'article</v>
      </c>
      <c r="D134" s="23" t="str">
        <f ca="1">IFERROR(__xludf.DUMMYFUNCTION("GOOGLETRANSLATE(B134, ""en"", ""es"")"),"Mostrar detalles del artículo")</f>
        <v>Mostrar detalles del artículo</v>
      </c>
      <c r="E134" s="23" t="str">
        <f ca="1">IFERROR(__xludf.DUMMYFUNCTION("GOOGLETRANSLATE(B134, ""en"", ""ru"")"),"Показать детали предмета")</f>
        <v>Показать детали предмета</v>
      </c>
      <c r="F134" s="23" t="str">
        <f ca="1">IFERROR(__xludf.DUMMYFUNCTION("GOOGLETRANSLATE(B134, ""en"", ""tr"")"),"Ürün ayrıntılarını göster")</f>
        <v>Ürün ayrıntılarını göster</v>
      </c>
      <c r="G134" s="23" t="str">
        <f ca="1">IFERROR(__xludf.DUMMYFUNCTION("GOOGLETRANSLATE(B134, ""en"", ""pt"")"),"Mostrar detalhes do item")</f>
        <v>Mostrar detalhes do item</v>
      </c>
      <c r="H134" s="24" t="str">
        <f ca="1">IFERROR(__xludf.DUMMYFUNCTION("GOOGLETRANSLATE(B134, ""en"", ""de"")"),"Artikeldetails anzeigen.")</f>
        <v>Artikeldetails anzeigen.</v>
      </c>
      <c r="I134" s="23" t="str">
        <f ca="1">IFERROR(__xludf.DUMMYFUNCTION("GOOGLETRANSLATE(B134, ""en"", ""pl"")"),"Pokaż szczegóły elementu")</f>
        <v>Pokaż szczegóły elementu</v>
      </c>
      <c r="J134" s="25" t="str">
        <f ca="1">IFERROR(__xludf.DUMMYFUNCTION("GOOGLETRANSLATE(B134, ""en"", ""zh"")"),"显示项目详细信息")</f>
        <v>显示项目详细信息</v>
      </c>
      <c r="K134" s="25" t="str">
        <f ca="1">IFERROR(__xludf.DUMMYFUNCTION("GOOGLETRANSLATE(B134, ""en"", ""vi"")"),"Hiển thị chi tiết mục")</f>
        <v>Hiển thị chi tiết mục</v>
      </c>
      <c r="L134" s="26" t="str">
        <f ca="1">IFERROR(__xludf.DUMMYFUNCTION("GOOGLETRANSLATE(B134, ""en"", ""hr"")"),"Prikaži pojedinosti o stavci")</f>
        <v>Prikaži pojedinosti o stavci</v>
      </c>
      <c r="M134" s="28"/>
      <c r="N134" s="28"/>
      <c r="O134" s="28"/>
      <c r="P134" s="28"/>
      <c r="Q134" s="28"/>
      <c r="R134" s="28"/>
      <c r="S134" s="28"/>
      <c r="T134" s="28"/>
      <c r="U134" s="28"/>
      <c r="V134" s="28"/>
      <c r="W134" s="28"/>
      <c r="X134" s="28"/>
      <c r="Y134" s="28"/>
      <c r="Z134" s="28"/>
      <c r="AA134" s="28"/>
      <c r="AB134" s="28"/>
    </row>
    <row r="135" spans="1:28" ht="28" x14ac:dyDescent="0.15">
      <c r="A135" s="21" t="s">
        <v>279</v>
      </c>
      <c r="B135" s="22" t="s">
        <v>280</v>
      </c>
      <c r="C135" s="23" t="str">
        <f ca="1">IFERROR(__xludf.DUMMYFUNCTION("GOOGLETRANSLATE(B135, ""en"", ""fr"")"),"Aucun élément trouvé.")</f>
        <v>Aucun élément trouvé.</v>
      </c>
      <c r="D135" s="23" t="str">
        <f ca="1">IFERROR(__xludf.DUMMYFUNCTION("GOOGLETRANSLATE(B135, ""en"", ""es"")"),"No se encontraron artículos.")</f>
        <v>No se encontraron artículos.</v>
      </c>
      <c r="E135" s="23" t="str">
        <f ca="1">IFERROR(__xludf.DUMMYFUNCTION("GOOGLETRANSLATE(B135, ""en"", ""ru"")"),"Ничего не найдено.")</f>
        <v>Ничего не найдено.</v>
      </c>
      <c r="F135" s="23" t="str">
        <f ca="1">IFERROR(__xludf.DUMMYFUNCTION("GOOGLETRANSLATE(B135, ""en"", ""tr"")"),"Hiç bir öğe bulunamadı.")</f>
        <v>Hiç bir öğe bulunamadı.</v>
      </c>
      <c r="G135" s="23" t="str">
        <f ca="1">IFERROR(__xludf.DUMMYFUNCTION("GOOGLETRANSLATE(B135, ""en"", ""pt"")"),"Nenhum item encontrado.")</f>
        <v>Nenhum item encontrado.</v>
      </c>
      <c r="H135" s="24" t="str">
        <f ca="1">IFERROR(__xludf.DUMMYFUNCTION("GOOGLETRANSLATE(B135, ""en"", ""de"")"),"Keine Elemente gefunden.")</f>
        <v>Keine Elemente gefunden.</v>
      </c>
      <c r="I135" s="23" t="str">
        <f ca="1">IFERROR(__xludf.DUMMYFUNCTION("GOOGLETRANSLATE(B135, ""en"", ""pl"")"),"Nie znaleziono żadnych przedmiotów.")</f>
        <v>Nie znaleziono żadnych przedmiotów.</v>
      </c>
      <c r="J135" s="25" t="str">
        <f ca="1">IFERROR(__xludf.DUMMYFUNCTION("GOOGLETRANSLATE(B135, ""en"", ""zh"")"),"未找到任何项目。")</f>
        <v>未找到任何项目。</v>
      </c>
      <c r="K135" s="25" t="str">
        <f ca="1">IFERROR(__xludf.DUMMYFUNCTION("GOOGLETRANSLATE(B135, ""en"", ""vi"")"),"Không tìm thấy vật nào.")</f>
        <v>Không tìm thấy vật nào.</v>
      </c>
      <c r="L135" s="26" t="str">
        <f ca="1">IFERROR(__xludf.DUMMYFUNCTION("GOOGLETRANSLATE(B135, ""en"", ""hr"")"),"Nema pronađenih stavki.")</f>
        <v>Nema pronađenih stavki.</v>
      </c>
      <c r="M135" s="28"/>
      <c r="N135" s="28"/>
      <c r="O135" s="28"/>
      <c r="P135" s="28"/>
      <c r="Q135" s="28"/>
      <c r="R135" s="28"/>
      <c r="S135" s="28"/>
      <c r="T135" s="28"/>
      <c r="U135" s="28"/>
      <c r="V135" s="28"/>
      <c r="W135" s="28"/>
      <c r="X135" s="28"/>
      <c r="Y135" s="28"/>
      <c r="Z135" s="28"/>
      <c r="AA135" s="28"/>
      <c r="AB135" s="28"/>
    </row>
    <row r="136" spans="1:28" ht="42" x14ac:dyDescent="0.15">
      <c r="A136" s="21" t="s">
        <v>281</v>
      </c>
      <c r="B136" s="22" t="s">
        <v>282</v>
      </c>
      <c r="C136" s="23" t="str">
        <f ca="1">IFERROR(__xludf.DUMMYFUNCTION("GOOGLETRANSLATE(B136, ""en"", ""fr"")"),"Aucune option d'artisanat disponible.")</f>
        <v>Aucune option d'artisanat disponible.</v>
      </c>
      <c r="D136" s="23" t="str">
        <f ca="1">IFERROR(__xludf.DUMMYFUNCTION("GOOGLETRANSLATE(B136, ""en"", ""es"")"),"No hay opciones de artesanía disponibles.")</f>
        <v>No hay opciones de artesanía disponibles.</v>
      </c>
      <c r="E136" s="23" t="str">
        <f ca="1">IFERROR(__xludf.DUMMYFUNCTION("GOOGLETRANSLATE(B136, ""en"", ""ru"")"),"Нет вариантов крафта.")</f>
        <v>Нет вариантов крафта.</v>
      </c>
      <c r="F136" s="23" t="str">
        <f ca="1">IFERROR(__xludf.DUMMYFUNCTION("GOOGLETRANSLATE(B136, ""en"", ""tr"")"),"İşçiliği seçeneği yok.")</f>
        <v>İşçiliği seçeneği yok.</v>
      </c>
      <c r="G136" s="23" t="str">
        <f ca="1">IFERROR(__xludf.DUMMYFUNCTION("GOOGLETRANSLATE(B136, ""en"", ""pt"")"),"Sem opções de artesanato disponíveis.")</f>
        <v>Sem opções de artesanato disponíveis.</v>
      </c>
      <c r="H136" s="24" t="str">
        <f ca="1">IFERROR(__xludf.DUMMYFUNCTION("GOOGLETRANSLATE(B136, ""en"", ""de"")"),"Keine Handlungsoptionen verfügbar.")</f>
        <v>Keine Handlungsoptionen verfügbar.</v>
      </c>
      <c r="I136" s="23" t="str">
        <f ca="1">IFERROR(__xludf.DUMMYFUNCTION("GOOGLETRANSLATE(B136, ""en"", ""pl"")"),"Brak dostępnych opcji craftingów.")</f>
        <v>Brak dostępnych opcji craftingów.</v>
      </c>
      <c r="J136" s="25" t="str">
        <f ca="1">IFERROR(__xludf.DUMMYFUNCTION("GOOGLETRANSLATE(B136, ""en"", ""zh"")"),"没有可用的制作选项。")</f>
        <v>没有可用的制作选项。</v>
      </c>
      <c r="K136" s="25" t="str">
        <f ca="1">IFERROR(__xludf.DUMMYFUNCTION("GOOGLETRANSLATE(B136, ""en"", ""vi"")"),"Không có lựa chọn chế tạo có sẵn.")</f>
        <v>Không có lựa chọn chế tạo có sẵn.</v>
      </c>
      <c r="L136" s="26" t="str">
        <f ca="1">IFERROR(__xludf.DUMMYFUNCTION("GOOGLETRANSLATE(B136, ""en"", ""hr"")"),"Nema dostupnih opcija za izradu.")</f>
        <v>Nema dostupnih opcija za izradu.</v>
      </c>
      <c r="M136" s="28"/>
      <c r="N136" s="28"/>
      <c r="O136" s="28"/>
      <c r="P136" s="28"/>
      <c r="Q136" s="28"/>
      <c r="R136" s="28"/>
      <c r="S136" s="28"/>
      <c r="T136" s="28"/>
      <c r="U136" s="28"/>
      <c r="V136" s="28"/>
      <c r="W136" s="28"/>
      <c r="X136" s="28"/>
      <c r="Y136" s="28"/>
      <c r="Z136" s="28"/>
      <c r="AA136" s="28"/>
      <c r="AB136" s="28"/>
    </row>
    <row r="137" spans="1:28" ht="14" x14ac:dyDescent="0.15">
      <c r="A137" s="21" t="s">
        <v>283</v>
      </c>
      <c r="B137" s="22" t="s">
        <v>283</v>
      </c>
      <c r="C137" s="23" t="str">
        <f ca="1">IFERROR(__xludf.DUMMYFUNCTION("GOOGLETRANSLATE(B137, ""en"", ""fr"")"),"Artisanat")</f>
        <v>Artisanat</v>
      </c>
      <c r="D137" s="23" t="str">
        <f ca="1">IFERROR(__xludf.DUMMYFUNCTION("GOOGLETRANSLATE(B137, ""en"", ""es"")"),"Artesanía")</f>
        <v>Artesanía</v>
      </c>
      <c r="E137" s="23" t="str">
        <f ca="1">IFERROR(__xludf.DUMMYFUNCTION("GOOGLETRANSLATE(B137, ""en"", ""ru"")"),"Ремесло")</f>
        <v>Ремесло</v>
      </c>
      <c r="F137" s="23" t="str">
        <f ca="1">IFERROR(__xludf.DUMMYFUNCTION("GOOGLETRANSLATE(B137, ""en"", ""tr"")"),"Zanaat")</f>
        <v>Zanaat</v>
      </c>
      <c r="G137" s="23" t="str">
        <f ca="1">IFERROR(__xludf.DUMMYFUNCTION("GOOGLETRANSLATE(B137, ""en"", ""pt"")"),"Artesanato")</f>
        <v>Artesanato</v>
      </c>
      <c r="H137" s="24" t="str">
        <f ca="1">IFERROR(__xludf.DUMMYFUNCTION("GOOGLETRANSLATE(B137, ""en"", ""de"")"),"Handwerk")</f>
        <v>Handwerk</v>
      </c>
      <c r="I137" s="23" t="str">
        <f ca="1">IFERROR(__xludf.DUMMYFUNCTION("GOOGLETRANSLATE(B137, ""en"", ""pl"")"),"Rękodzieło")</f>
        <v>Rękodzieło</v>
      </c>
      <c r="J137" s="25" t="str">
        <f ca="1">IFERROR(__xludf.DUMMYFUNCTION("GOOGLETRANSLATE(B137, ""en"", ""zh"")"),"工艺")</f>
        <v>工艺</v>
      </c>
      <c r="K137" s="25" t="str">
        <f ca="1">IFERROR(__xludf.DUMMYFUNCTION("GOOGLETRANSLATE(B137, ""en"", ""vi"")"),"Thủ công")</f>
        <v>Thủ công</v>
      </c>
      <c r="L137" s="26" t="str">
        <f ca="1">IFERROR(__xludf.DUMMYFUNCTION("GOOGLETRANSLATE(B137, ""en"", ""hr"")"),"Obrt")</f>
        <v>Obrt</v>
      </c>
      <c r="M137" s="28"/>
      <c r="N137" s="28"/>
      <c r="O137" s="28"/>
      <c r="P137" s="28"/>
      <c r="Q137" s="28"/>
      <c r="R137" s="28"/>
      <c r="S137" s="28"/>
      <c r="T137" s="28"/>
      <c r="U137" s="28"/>
      <c r="V137" s="28"/>
      <c r="W137" s="28"/>
      <c r="X137" s="28"/>
      <c r="Y137" s="28"/>
      <c r="Z137" s="28"/>
      <c r="AA137" s="28"/>
      <c r="AB137" s="28"/>
    </row>
    <row r="138" spans="1:28" ht="14" x14ac:dyDescent="0.15">
      <c r="A138" s="29" t="s">
        <v>284</v>
      </c>
      <c r="B138" s="22" t="s">
        <v>284</v>
      </c>
      <c r="C138" s="23" t="str">
        <f ca="1">IFERROR(__xludf.DUMMYFUNCTION("GOOGLETRANSLATE(B138, ""en"", ""fr"")"),"Niveau")</f>
        <v>Niveau</v>
      </c>
      <c r="D138" s="23" t="str">
        <f ca="1">IFERROR(__xludf.DUMMYFUNCTION("GOOGLETRANSLATE(B138, ""en"", ""es"")"),"Nivel")</f>
        <v>Nivel</v>
      </c>
      <c r="E138" s="23" t="str">
        <f ca="1">IFERROR(__xludf.DUMMYFUNCTION("GOOGLETRANSLATE(B138, ""en"", ""ru"")"),"Уровень")</f>
        <v>Уровень</v>
      </c>
      <c r="F138" s="23" t="str">
        <f ca="1">IFERROR(__xludf.DUMMYFUNCTION("GOOGLETRANSLATE(B138, ""en"", ""tr"")"),"Seviye")</f>
        <v>Seviye</v>
      </c>
      <c r="G138" s="23" t="str">
        <f ca="1">IFERROR(__xludf.DUMMYFUNCTION("GOOGLETRANSLATE(B138, ""en"", ""pt"")"),"Nível")</f>
        <v>Nível</v>
      </c>
      <c r="H138" s="24" t="str">
        <f ca="1">IFERROR(__xludf.DUMMYFUNCTION("GOOGLETRANSLATE(B138, ""en"", ""de"")"),"Niveau")</f>
        <v>Niveau</v>
      </c>
      <c r="I138" s="23" t="str">
        <f ca="1">IFERROR(__xludf.DUMMYFUNCTION("GOOGLETRANSLATE(B138, ""en"", ""pl"")"),"Poziom")</f>
        <v>Poziom</v>
      </c>
      <c r="J138" s="25" t="str">
        <f ca="1">IFERROR(__xludf.DUMMYFUNCTION("GOOGLETRANSLATE(B138, ""en"", ""zh"")"),"等级")</f>
        <v>等级</v>
      </c>
      <c r="K138" s="25" t="str">
        <f ca="1">IFERROR(__xludf.DUMMYFUNCTION("GOOGLETRANSLATE(B138, ""en"", ""vi"")"),"Cấp độ")</f>
        <v>Cấp độ</v>
      </c>
      <c r="L138" s="26" t="str">
        <f ca="1">IFERROR(__xludf.DUMMYFUNCTION("GOOGLETRANSLATE(B138, ""en"", ""hr"")"),"Razina")</f>
        <v>Razina</v>
      </c>
      <c r="M138" s="28"/>
      <c r="N138" s="28"/>
      <c r="O138" s="28"/>
      <c r="P138" s="28"/>
      <c r="Q138" s="28"/>
      <c r="R138" s="28"/>
      <c r="S138" s="28"/>
      <c r="T138" s="28"/>
      <c r="U138" s="28"/>
      <c r="V138" s="28"/>
      <c r="W138" s="28"/>
      <c r="X138" s="28"/>
      <c r="Y138" s="28"/>
      <c r="Z138" s="28"/>
      <c r="AA138" s="28"/>
      <c r="AB138" s="28"/>
    </row>
    <row r="139" spans="1:28" ht="14" x14ac:dyDescent="0.15">
      <c r="A139" s="29" t="s">
        <v>285</v>
      </c>
      <c r="B139" s="22" t="s">
        <v>285</v>
      </c>
      <c r="C139" s="23" t="s">
        <v>286</v>
      </c>
      <c r="D139" s="23" t="str">
        <f ca="1">IFERROR(__xludf.DUMMYFUNCTION("GOOGLETRANSLATE(B139, ""en"", ""es"")"),"Exp")</f>
        <v>Exp</v>
      </c>
      <c r="E139" s="23" t="str">
        <f ca="1">IFERROR(__xludf.DUMMYFUNCTION("GOOGLETRANSLATE(B139, ""en"", ""ru"")"),"Превышать")</f>
        <v>Превышать</v>
      </c>
      <c r="F139" s="23" t="str">
        <f ca="1">IFERROR(__xludf.DUMMYFUNCTION("GOOGLETRANSLATE(B139, ""en"", ""tr"")"),"Tecrübe")</f>
        <v>Tecrübe</v>
      </c>
      <c r="G139" s="23" t="str">
        <f ca="1">IFERROR(__xludf.DUMMYFUNCTION("GOOGLETRANSLATE(B139, ""en"", ""pt"")"),"Exp.")</f>
        <v>Exp.</v>
      </c>
      <c r="H139" s="24" t="str">
        <f ca="1">IFERROR(__xludf.DUMMYFUNCTION("GOOGLETRANSLATE(B139, ""en"", ""de"")"),"EXP.")</f>
        <v>EXP.</v>
      </c>
      <c r="I139" s="23" t="str">
        <f ca="1">IFERROR(__xludf.DUMMYFUNCTION("GOOGLETRANSLATE(B139, ""en"", ""pl"")"),"Do potęgi")</f>
        <v>Do potęgi</v>
      </c>
      <c r="J139" s="25" t="str">
        <f ca="1">IFERROR(__xludf.DUMMYFUNCTION("GOOGLETRANSLATE(B139, ""en"", ""zh"")"),"exp.")</f>
        <v>exp.</v>
      </c>
      <c r="K139" s="25" t="str">
        <f ca="1">IFERROR(__xludf.DUMMYFUNCTION("GOOGLETRANSLATE(B139, ""en"", ""vi"")"),"NS")</f>
        <v>NS</v>
      </c>
      <c r="L139" s="26" t="str">
        <f ca="1">IFERROR(__xludf.DUMMYFUNCTION("GOOGLETRANSLATE(B139, ""en"", ""hr"")"),"Exp")</f>
        <v>Exp</v>
      </c>
      <c r="M139" s="28"/>
      <c r="N139" s="28"/>
      <c r="O139" s="28"/>
      <c r="P139" s="28"/>
      <c r="Q139" s="28"/>
      <c r="R139" s="28"/>
      <c r="S139" s="28"/>
      <c r="T139" s="28"/>
      <c r="U139" s="28"/>
      <c r="V139" s="28"/>
      <c r="W139" s="28"/>
      <c r="X139" s="28"/>
      <c r="Y139" s="28"/>
      <c r="Z139" s="28"/>
      <c r="AA139" s="28"/>
      <c r="AB139" s="28"/>
    </row>
    <row r="140" spans="1:28" ht="14" x14ac:dyDescent="0.15">
      <c r="A140" s="29" t="s">
        <v>138</v>
      </c>
      <c r="B140" s="22" t="s">
        <v>138</v>
      </c>
      <c r="C140" s="23" t="str">
        <f ca="1">IFERROR(__xludf.DUMMYFUNCTION("GOOGLETRANSLATE(B140, ""en"", ""fr"")"),"Tâches")</f>
        <v>Tâches</v>
      </c>
      <c r="D140" s="23" t="str">
        <f ca="1">IFERROR(__xludf.DUMMYFUNCTION("GOOGLETRANSLATE(B140, ""en"", ""es"")"),"Tareas")</f>
        <v>Tareas</v>
      </c>
      <c r="E140" s="23" t="str">
        <f ca="1">IFERROR(__xludf.DUMMYFUNCTION("GOOGLETRANSLATE(B140, ""en"", ""ru"")"),"Задания")</f>
        <v>Задания</v>
      </c>
      <c r="F140" s="23" t="str">
        <f ca="1">IFERROR(__xludf.DUMMYFUNCTION("GOOGLETRANSLATE(B140, ""en"", ""tr"")"),"Görevler")</f>
        <v>Görevler</v>
      </c>
      <c r="G140" s="23" t="str">
        <f ca="1">IFERROR(__xludf.DUMMYFUNCTION("GOOGLETRANSLATE(B140, ""en"", ""pt"")"),"Tarefas")</f>
        <v>Tarefas</v>
      </c>
      <c r="H140" s="24" t="str">
        <f ca="1">IFERROR(__xludf.DUMMYFUNCTION("GOOGLETRANSLATE(B140, ""en"", ""de"")"),"Aufgaben")</f>
        <v>Aufgaben</v>
      </c>
      <c r="I140" s="23" t="str">
        <f ca="1">IFERROR(__xludf.DUMMYFUNCTION("GOOGLETRANSLATE(B140, ""en"", ""pl"")"),"Zadania")</f>
        <v>Zadania</v>
      </c>
      <c r="J140" s="25" t="str">
        <f ca="1">IFERROR(__xludf.DUMMYFUNCTION("GOOGLETRANSLATE(B140, ""en"", ""zh"")"),"任务")</f>
        <v>任务</v>
      </c>
      <c r="K140" s="25" t="str">
        <f ca="1">IFERROR(__xludf.DUMMYFUNCTION("GOOGLETRANSLATE(B140, ""en"", ""vi"")"),"Nhiệm vụ")</f>
        <v>Nhiệm vụ</v>
      </c>
      <c r="L140" s="26" t="str">
        <f ca="1">IFERROR(__xludf.DUMMYFUNCTION("GOOGLETRANSLATE(B140, ""en"", ""hr"")"),"Zadatke")</f>
        <v>Zadatke</v>
      </c>
      <c r="M140" s="28"/>
      <c r="N140" s="28"/>
      <c r="O140" s="28"/>
      <c r="P140" s="28"/>
      <c r="Q140" s="28"/>
      <c r="R140" s="28"/>
      <c r="S140" s="28"/>
      <c r="T140" s="28"/>
      <c r="U140" s="28"/>
      <c r="V140" s="28"/>
      <c r="W140" s="28"/>
      <c r="X140" s="28"/>
      <c r="Y140" s="28"/>
      <c r="Z140" s="28"/>
      <c r="AA140" s="28"/>
      <c r="AB140" s="28"/>
    </row>
    <row r="141" spans="1:28" ht="14" x14ac:dyDescent="0.15">
      <c r="A141" s="29" t="s">
        <v>287</v>
      </c>
      <c r="B141" s="22" t="s">
        <v>287</v>
      </c>
      <c r="C141" s="23" t="str">
        <f ca="1">IFERROR(__xludf.DUMMYFUNCTION("GOOGLETRANSLATE(B141, ""en"", ""fr"")"),"Tâche")</f>
        <v>Tâche</v>
      </c>
      <c r="D141" s="23" t="str">
        <f ca="1">IFERROR(__xludf.DUMMYFUNCTION("GOOGLETRANSLATE(B141, ""en"", ""es"")"),"Tarea")</f>
        <v>Tarea</v>
      </c>
      <c r="E141" s="23" t="str">
        <f ca="1">IFERROR(__xludf.DUMMYFUNCTION("GOOGLETRANSLATE(B141, ""en"", ""ru"")"),"Задача")</f>
        <v>Задача</v>
      </c>
      <c r="F141" s="23" t="str">
        <f ca="1">IFERROR(__xludf.DUMMYFUNCTION("GOOGLETRANSLATE(B141, ""en"", ""tr"")"),"Görev")</f>
        <v>Görev</v>
      </c>
      <c r="G141" s="23" t="str">
        <f ca="1">IFERROR(__xludf.DUMMYFUNCTION("GOOGLETRANSLATE(B141, ""en"", ""pt"")"),"Tarefa")</f>
        <v>Tarefa</v>
      </c>
      <c r="H141" s="24" t="str">
        <f ca="1">IFERROR(__xludf.DUMMYFUNCTION("GOOGLETRANSLATE(B141, ""en"", ""de"")"),"Aufgabe")</f>
        <v>Aufgabe</v>
      </c>
      <c r="I141" s="23" t="str">
        <f ca="1">IFERROR(__xludf.DUMMYFUNCTION("GOOGLETRANSLATE(B141, ""en"", ""pl"")"),"Zadanie")</f>
        <v>Zadanie</v>
      </c>
      <c r="J141" s="25" t="str">
        <f ca="1">IFERROR(__xludf.DUMMYFUNCTION("GOOGLETRANSLATE(B141, ""en"", ""zh"")"),"任务")</f>
        <v>任务</v>
      </c>
      <c r="K141" s="25" t="str">
        <f ca="1">IFERROR(__xludf.DUMMYFUNCTION("GOOGLETRANSLATE(B141, ""en"", ""vi"")"),"Nhiệm vụ")</f>
        <v>Nhiệm vụ</v>
      </c>
      <c r="L141" s="26" t="str">
        <f ca="1">IFERROR(__xludf.DUMMYFUNCTION("GOOGLETRANSLATE(B141, ""en"", ""hr"")"),"Zadatak")</f>
        <v>Zadatak</v>
      </c>
      <c r="M141" s="28"/>
      <c r="N141" s="28"/>
      <c r="O141" s="28"/>
      <c r="P141" s="28"/>
      <c r="Q141" s="28"/>
      <c r="R141" s="28"/>
      <c r="S141" s="28"/>
      <c r="T141" s="28"/>
      <c r="U141" s="28"/>
      <c r="V141" s="28"/>
      <c r="W141" s="28"/>
      <c r="X141" s="28"/>
      <c r="Y141" s="28"/>
      <c r="Z141" s="28"/>
      <c r="AA141" s="28"/>
      <c r="AB141" s="28"/>
    </row>
    <row r="142" spans="1:28" ht="14" x14ac:dyDescent="0.15">
      <c r="A142" s="21" t="s">
        <v>288</v>
      </c>
      <c r="B142" s="22" t="s">
        <v>288</v>
      </c>
      <c r="C142" s="23" t="s">
        <v>289</v>
      </c>
      <c r="D142" s="23" t="str">
        <f ca="1">IFERROR(__xludf.DUMMYFUNCTION("GOOGLETRANSLATE(B142, ""en"", ""es"")"),"Progreso")</f>
        <v>Progreso</v>
      </c>
      <c r="E142" s="23" t="str">
        <f ca="1">IFERROR(__xludf.DUMMYFUNCTION("GOOGLETRANSLATE(B142, ""en"", ""ru"")"),"Прогресс")</f>
        <v>Прогресс</v>
      </c>
      <c r="F142" s="23" t="str">
        <f ca="1">IFERROR(__xludf.DUMMYFUNCTION("GOOGLETRANSLATE(B142, ""en"", ""tr"")"),"İlerlemek")</f>
        <v>İlerlemek</v>
      </c>
      <c r="G142" s="23" t="str">
        <f ca="1">IFERROR(__xludf.DUMMYFUNCTION("GOOGLETRANSLATE(B142, ""en"", ""pt"")"),"Progresso")</f>
        <v>Progresso</v>
      </c>
      <c r="H142" s="24" t="str">
        <f ca="1">IFERROR(__xludf.DUMMYFUNCTION("GOOGLETRANSLATE(B142, ""en"", ""de"")"),"Fortschritt")</f>
        <v>Fortschritt</v>
      </c>
      <c r="I142" s="23" t="str">
        <f ca="1">IFERROR(__xludf.DUMMYFUNCTION("GOOGLETRANSLATE(B142, ""en"", ""pl"")"),"Postęp")</f>
        <v>Postęp</v>
      </c>
      <c r="J142" s="25" t="str">
        <f ca="1">IFERROR(__xludf.DUMMYFUNCTION("GOOGLETRANSLATE(B142, ""en"", ""zh"")"),"进步")</f>
        <v>进步</v>
      </c>
      <c r="K142" s="25" t="str">
        <f ca="1">IFERROR(__xludf.DUMMYFUNCTION("GOOGLETRANSLATE(B142, ""en"", ""vi"")"),"Tiến triển")</f>
        <v>Tiến triển</v>
      </c>
      <c r="L142" s="26" t="str">
        <f ca="1">IFERROR(__xludf.DUMMYFUNCTION("GOOGLETRANSLATE(B142, ""en"", ""hr"")"),"Napredak")</f>
        <v>Napredak</v>
      </c>
      <c r="M142" s="28"/>
      <c r="N142" s="28"/>
      <c r="O142" s="28"/>
      <c r="P142" s="28"/>
      <c r="Q142" s="28"/>
      <c r="R142" s="28"/>
      <c r="S142" s="28"/>
      <c r="T142" s="28"/>
      <c r="U142" s="28"/>
      <c r="V142" s="28"/>
      <c r="W142" s="28"/>
      <c r="X142" s="28"/>
      <c r="Y142" s="28"/>
      <c r="Z142" s="28"/>
      <c r="AA142" s="28"/>
      <c r="AB142" s="28"/>
    </row>
    <row r="143" spans="1:28" ht="14" x14ac:dyDescent="0.15">
      <c r="A143" s="21" t="s">
        <v>290</v>
      </c>
      <c r="B143" s="22" t="s">
        <v>290</v>
      </c>
      <c r="C143" s="23" t="str">
        <f ca="1">IFERROR(__xludf.DUMMYFUNCTION("GOOGLETRANSLATE(B143, ""en"", ""fr"")"),"Récompense")</f>
        <v>Récompense</v>
      </c>
      <c r="D143" s="23" t="str">
        <f ca="1">IFERROR(__xludf.DUMMYFUNCTION("GOOGLETRANSLATE(B143, ""en"", ""es"")"),"Recompensa")</f>
        <v>Recompensa</v>
      </c>
      <c r="E143" s="23" t="str">
        <f ca="1">IFERROR(__xludf.DUMMYFUNCTION("GOOGLETRANSLATE(B143, ""en"", ""ru"")"),"Награда")</f>
        <v>Награда</v>
      </c>
      <c r="F143" s="23" t="str">
        <f ca="1">IFERROR(__xludf.DUMMYFUNCTION("GOOGLETRANSLATE(B143, ""en"", ""tr"")"),"Ödül")</f>
        <v>Ödül</v>
      </c>
      <c r="G143" s="23" t="str">
        <f ca="1">IFERROR(__xludf.DUMMYFUNCTION("GOOGLETRANSLATE(B143, ""en"", ""pt"")"),"Recompensa")</f>
        <v>Recompensa</v>
      </c>
      <c r="H143" s="24" t="str">
        <f ca="1">IFERROR(__xludf.DUMMYFUNCTION("GOOGLETRANSLATE(B143, ""en"", ""de"")"),"Belohnen")</f>
        <v>Belohnen</v>
      </c>
      <c r="I143" s="23" t="str">
        <f ca="1">IFERROR(__xludf.DUMMYFUNCTION("GOOGLETRANSLATE(B143, ""en"", ""pl"")"),"Nagroda")</f>
        <v>Nagroda</v>
      </c>
      <c r="J143" s="25" t="str">
        <f ca="1">IFERROR(__xludf.DUMMYFUNCTION("GOOGLETRANSLATE(B143, ""en"", ""zh"")"),"报酬")</f>
        <v>报酬</v>
      </c>
      <c r="K143" s="25" t="str">
        <f ca="1">IFERROR(__xludf.DUMMYFUNCTION("GOOGLETRANSLATE(B143, ""en"", ""vi"")"),"Giải thưởng")</f>
        <v>Giải thưởng</v>
      </c>
      <c r="L143" s="26" t="str">
        <f ca="1">IFERROR(__xludf.DUMMYFUNCTION("GOOGLETRANSLATE(B143, ""en"", ""hr"")"),"Nagrada")</f>
        <v>Nagrada</v>
      </c>
      <c r="M143" s="28"/>
      <c r="N143" s="28"/>
      <c r="O143" s="28"/>
      <c r="P143" s="28"/>
      <c r="Q143" s="28"/>
      <c r="R143" s="28"/>
      <c r="S143" s="28"/>
      <c r="T143" s="28"/>
      <c r="U143" s="28"/>
      <c r="V143" s="28"/>
      <c r="W143" s="28"/>
      <c r="X143" s="28"/>
      <c r="Y143" s="28"/>
      <c r="Z143" s="28"/>
      <c r="AA143" s="28"/>
      <c r="AB143" s="28"/>
    </row>
    <row r="144" spans="1:28" ht="14" x14ac:dyDescent="0.15">
      <c r="A144" s="21" t="s">
        <v>291</v>
      </c>
      <c r="B144" s="22" t="s">
        <v>291</v>
      </c>
      <c r="C144" s="23" t="str">
        <f ca="1">IFERROR(__xludf.DUMMYFUNCTION("GOOGLETRANSLATE(B144, ""en"", ""fr"")"),"Pister")</f>
        <v>Pister</v>
      </c>
      <c r="D144" s="23" t="str">
        <f ca="1">IFERROR(__xludf.DUMMYFUNCTION("GOOGLETRANSLATE(B144, ""en"", ""es"")"),"Pista")</f>
        <v>Pista</v>
      </c>
      <c r="E144" s="23" t="str">
        <f ca="1">IFERROR(__xludf.DUMMYFUNCTION("GOOGLETRANSLATE(B144, ""en"", ""ru"")"),"Отслеживать")</f>
        <v>Отслеживать</v>
      </c>
      <c r="F144" s="23" t="str">
        <f ca="1">IFERROR(__xludf.DUMMYFUNCTION("GOOGLETRANSLATE(B144, ""en"", ""tr"")"),"İzlemek")</f>
        <v>İzlemek</v>
      </c>
      <c r="G144" s="23" t="str">
        <f ca="1">IFERROR(__xludf.DUMMYFUNCTION("GOOGLETRANSLATE(B144, ""en"", ""pt"")"),"Acompanhar")</f>
        <v>Acompanhar</v>
      </c>
      <c r="H144" s="24" t="str">
        <f ca="1">IFERROR(__xludf.DUMMYFUNCTION("GOOGLETRANSLATE(B144, ""en"", ""de"")"),"Spur")</f>
        <v>Spur</v>
      </c>
      <c r="I144" s="23" t="str">
        <f ca="1">IFERROR(__xludf.DUMMYFUNCTION("GOOGLETRANSLATE(B144, ""en"", ""pl"")"),"Ścieżka")</f>
        <v>Ścieżka</v>
      </c>
      <c r="J144" s="25" t="str">
        <f ca="1">IFERROR(__xludf.DUMMYFUNCTION("GOOGLETRANSLATE(B144, ""en"", ""zh"")"),"追踪")</f>
        <v>追踪</v>
      </c>
      <c r="K144" s="25" t="str">
        <f ca="1">IFERROR(__xludf.DUMMYFUNCTION("GOOGLETRANSLATE(B144, ""en"", ""vi"")"),"Theo dõi")</f>
        <v>Theo dõi</v>
      </c>
      <c r="L144" s="26" t="str">
        <f ca="1">IFERROR(__xludf.DUMMYFUNCTION("GOOGLETRANSLATE(B144, ""en"", ""hr"")"),"Staza")</f>
        <v>Staza</v>
      </c>
      <c r="M144" s="28"/>
      <c r="N144" s="28"/>
      <c r="O144" s="28"/>
      <c r="P144" s="28"/>
      <c r="Q144" s="28"/>
      <c r="R144" s="28"/>
      <c r="S144" s="28"/>
      <c r="T144" s="28"/>
      <c r="U144" s="28"/>
      <c r="V144" s="28"/>
      <c r="W144" s="28"/>
      <c r="X144" s="28"/>
      <c r="Y144" s="28"/>
      <c r="Z144" s="28"/>
      <c r="AA144" s="28"/>
      <c r="AB144" s="28"/>
    </row>
    <row r="145" spans="1:28" ht="14" x14ac:dyDescent="0.15">
      <c r="A145" s="21" t="s">
        <v>292</v>
      </c>
      <c r="B145" s="22" t="s">
        <v>292</v>
      </c>
      <c r="C145" s="23" t="str">
        <f ca="1">IFERROR(__xludf.DUMMYFUNCTION("GOOGLETRANSLATE(B145, ""en"", ""fr"")"),"Réclamer")</f>
        <v>Réclamer</v>
      </c>
      <c r="D145" s="23" t="str">
        <f ca="1">IFERROR(__xludf.DUMMYFUNCTION("GOOGLETRANSLATE(B145, ""en"", ""es"")"),"Afirmar")</f>
        <v>Afirmar</v>
      </c>
      <c r="E145" s="23" t="str">
        <f ca="1">IFERROR(__xludf.DUMMYFUNCTION("GOOGLETRANSLATE(B145, ""en"", ""ru"")"),"Требовать")</f>
        <v>Требовать</v>
      </c>
      <c r="F145" s="23" t="str">
        <f ca="1">IFERROR(__xludf.DUMMYFUNCTION("GOOGLETRANSLATE(B145, ""en"", ""tr"")"),"İddia")</f>
        <v>İddia</v>
      </c>
      <c r="G145" s="23" t="str">
        <f ca="1">IFERROR(__xludf.DUMMYFUNCTION("GOOGLETRANSLATE(B145, ""en"", ""pt"")"),"Alegar")</f>
        <v>Alegar</v>
      </c>
      <c r="H145" s="24" t="str">
        <f ca="1">IFERROR(__xludf.DUMMYFUNCTION("GOOGLETRANSLATE(B145, ""en"", ""de"")"),"Anspruch")</f>
        <v>Anspruch</v>
      </c>
      <c r="I145" s="23" t="str">
        <f ca="1">IFERROR(__xludf.DUMMYFUNCTION("GOOGLETRANSLATE(B145, ""en"", ""pl"")"),"Prawo")</f>
        <v>Prawo</v>
      </c>
      <c r="J145" s="25" t="str">
        <f ca="1">IFERROR(__xludf.DUMMYFUNCTION("GOOGLETRANSLATE(B145, ""en"", ""zh"")"),"宣称")</f>
        <v>宣称</v>
      </c>
      <c r="K145" s="25" t="str">
        <f ca="1">IFERROR(__xludf.DUMMYFUNCTION("GOOGLETRANSLATE(B145, ""en"", ""vi"")"),"Yêu cầu")</f>
        <v>Yêu cầu</v>
      </c>
      <c r="L145" s="26" t="str">
        <f ca="1">IFERROR(__xludf.DUMMYFUNCTION("GOOGLETRANSLATE(B145, ""en"", ""hr"")"),"Zahtjev")</f>
        <v>Zahtjev</v>
      </c>
      <c r="M145" s="28"/>
      <c r="N145" s="28"/>
      <c r="O145" s="28"/>
      <c r="P145" s="28"/>
      <c r="Q145" s="28"/>
      <c r="R145" s="28"/>
      <c r="S145" s="28"/>
      <c r="T145" s="28"/>
      <c r="U145" s="28"/>
      <c r="V145" s="28"/>
      <c r="W145" s="28"/>
      <c r="X145" s="28"/>
      <c r="Y145" s="28"/>
      <c r="Z145" s="28"/>
      <c r="AA145" s="28"/>
      <c r="AB145" s="28"/>
    </row>
    <row r="146" spans="1:28" ht="14" x14ac:dyDescent="0.15">
      <c r="A146" s="21" t="s">
        <v>293</v>
      </c>
      <c r="B146" s="22" t="s">
        <v>294</v>
      </c>
      <c r="C146" s="23" t="str">
        <f ca="1">IFERROR(__xludf.DUMMYFUNCTION("GOOGLETRANSLATE(B146, ""en"", ""fr"")"),"Tâche terminée!")</f>
        <v>Tâche terminée!</v>
      </c>
      <c r="D146" s="23" t="str">
        <f ca="1">IFERROR(__xludf.DUMMYFUNCTION("GOOGLETRANSLATE(B146, ""en"", ""es"")"),"¡Tarea terminada!")</f>
        <v>¡Tarea terminada!</v>
      </c>
      <c r="E146" s="23" t="str">
        <f ca="1">IFERROR(__xludf.DUMMYFUNCTION("GOOGLETRANSLATE(B146, ""en"", ""ru"")"),"Задача завершена!")</f>
        <v>Задача завершена!</v>
      </c>
      <c r="F146" s="23" t="str">
        <f ca="1">IFERROR(__xludf.DUMMYFUNCTION("GOOGLETRANSLATE(B146, ""en"", ""tr"")"),"Görev tamamlandı!")</f>
        <v>Görev tamamlandı!</v>
      </c>
      <c r="G146" s="23" t="str">
        <f ca="1">IFERROR(__xludf.DUMMYFUNCTION("GOOGLETRANSLATE(B146, ""en"", ""pt"")"),"Tarefa completa!")</f>
        <v>Tarefa completa!</v>
      </c>
      <c r="H146" s="24" t="str">
        <f ca="1">IFERROR(__xludf.DUMMYFUNCTION("GOOGLETRANSLATE(B146, ""en"", ""de"")"),"Aufgabe erledigt!")</f>
        <v>Aufgabe erledigt!</v>
      </c>
      <c r="I146" s="23" t="str">
        <f ca="1">IFERROR(__xludf.DUMMYFUNCTION("GOOGLETRANSLATE(B146, ""en"", ""pl"")"),"Zadanie ukończone!")</f>
        <v>Zadanie ukończone!</v>
      </c>
      <c r="J146" s="25" t="str">
        <f ca="1">IFERROR(__xludf.DUMMYFUNCTION("GOOGLETRANSLATE(B146, ""en"", ""zh"")"),"任务完成！")</f>
        <v>任务完成！</v>
      </c>
      <c r="K146" s="25" t="str">
        <f ca="1">IFERROR(__xludf.DUMMYFUNCTION("GOOGLETRANSLATE(B146, ""en"", ""vi"")"),"Nhiệm vụ hoàn thành!")</f>
        <v>Nhiệm vụ hoàn thành!</v>
      </c>
      <c r="L146" s="26" t="str">
        <f ca="1">IFERROR(__xludf.DUMMYFUNCTION("GOOGLETRANSLATE(B146, ""en"", ""hr"")"),"Zadatak je dovršen!")</f>
        <v>Zadatak je dovršen!</v>
      </c>
      <c r="M146" s="28"/>
      <c r="N146" s="28"/>
      <c r="O146" s="28"/>
      <c r="P146" s="28"/>
      <c r="Q146" s="28"/>
      <c r="R146" s="28"/>
      <c r="S146" s="28"/>
      <c r="T146" s="28"/>
      <c r="U146" s="28"/>
      <c r="V146" s="28"/>
      <c r="W146" s="28"/>
      <c r="X146" s="28"/>
      <c r="Y146" s="28"/>
      <c r="Z146" s="28"/>
      <c r="AA146" s="28"/>
      <c r="AB146" s="28"/>
    </row>
    <row r="147" spans="1:28" ht="14" x14ac:dyDescent="0.15">
      <c r="A147" s="21" t="s">
        <v>295</v>
      </c>
      <c r="B147" s="22" t="s">
        <v>296</v>
      </c>
      <c r="C147" s="23" t="s">
        <v>297</v>
      </c>
      <c r="D147" s="23" t="str">
        <f ca="1">IFERROR(__xludf.DUMMYFUNCTION("GOOGLETRANSLATE(B147, ""en"", ""es"")"),"¡Muriste!")</f>
        <v>¡Muriste!</v>
      </c>
      <c r="E147" s="23" t="str">
        <f ca="1">IFERROR(__xludf.DUMMYFUNCTION("GOOGLETRANSLATE(B147, ""en"", ""ru"")"),"Ты умер!")</f>
        <v>Ты умер!</v>
      </c>
      <c r="F147" s="23" t="str">
        <f ca="1">IFERROR(__xludf.DUMMYFUNCTION("GOOGLETRANSLATE(B147, ""en"", ""tr"")"),"Öldün!")</f>
        <v>Öldün!</v>
      </c>
      <c r="G147" s="23" t="str">
        <f ca="1">IFERROR(__xludf.DUMMYFUNCTION("GOOGLETRANSLATE(B147, ""en"", ""pt"")"),"Você morreu!")</f>
        <v>Você morreu!</v>
      </c>
      <c r="H147" s="24" t="str">
        <f ca="1">IFERROR(__xludf.DUMMYFUNCTION("GOOGLETRANSLATE(B147, ""en"", ""de"")"),"Du bist gestorben!")</f>
        <v>Du bist gestorben!</v>
      </c>
      <c r="I147" s="23" t="str">
        <f ca="1">IFERROR(__xludf.DUMMYFUNCTION("GOOGLETRANSLATE(B147, ""en"", ""pl"")"),"Umarłeś!")</f>
        <v>Umarłeś!</v>
      </c>
      <c r="J147" s="25" t="str">
        <f ca="1">IFERROR(__xludf.DUMMYFUNCTION("GOOGLETRANSLATE(B147, ""en"", ""zh"")"),"你死了！")</f>
        <v>你死了！</v>
      </c>
      <c r="K147" s="25" t="str">
        <f ca="1">IFERROR(__xludf.DUMMYFUNCTION("GOOGLETRANSLATE(B147, ""en"", ""vi"")"),"Bạn đã chết!")</f>
        <v>Bạn đã chết!</v>
      </c>
      <c r="L147" s="26" t="str">
        <f ca="1">IFERROR(__xludf.DUMMYFUNCTION("GOOGLETRANSLATE(B147, ""en"", ""hr"")"),"Umro si!")</f>
        <v>Umro si!</v>
      </c>
      <c r="M147" s="28"/>
      <c r="N147" s="28"/>
      <c r="O147" s="28"/>
      <c r="P147" s="28"/>
      <c r="Q147" s="28"/>
      <c r="R147" s="28"/>
      <c r="S147" s="28"/>
      <c r="T147" s="28"/>
      <c r="U147" s="28"/>
      <c r="V147" s="28"/>
      <c r="W147" s="28"/>
      <c r="X147" s="28"/>
      <c r="Y147" s="28"/>
      <c r="Z147" s="28"/>
      <c r="AA147" s="28"/>
      <c r="AB147" s="28"/>
    </row>
    <row r="148" spans="1:28" ht="126" x14ac:dyDescent="0.15">
      <c r="A148" s="21" t="s">
        <v>298</v>
      </c>
      <c r="B148" s="22" t="s">
        <v>299</v>
      </c>
      <c r="C148" s="23" t="s">
        <v>300</v>
      </c>
      <c r="D148" s="23" t="str">
        <f ca="1">IFERROR(__xludf.DUMMYFUNCTION("GOOGLETRANSLATE(B148,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8" s="23" t="str">
        <f ca="1">IFERROR(__xludf.DUMMYFUNCTION("GOOGLETRANSLATE(B148,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8" s="23" t="str">
        <f ca="1">IFERROR(__xludf.DUMMYFUNCTION("GOOGLETRANSLATE(B148, ""en"", ""tr"")"),"Bir dahaki sefere daha iyi hazır olun. Öğeler daha yüksek işçiliği istatistikleri ile yapıldığında daha uzun sürecek.")</f>
        <v>Bir dahaki sefere daha iyi hazır olun. Öğeler daha yüksek işçiliği istatistikleri ile yapıldığında daha uzun sürecek.</v>
      </c>
      <c r="G148" s="23" t="str">
        <f ca="1">IFERROR(__xludf.DUMMYFUNCTION("GOOGLETRANSLATE(B148, ""en"", ""pt"")"),"Ser melhor preparado da próxima vez. Os itens durarão mais tempo quando feitos com estatísticas de artesanato mais altas.")</f>
        <v>Ser melhor preparado da próxima vez. Os itens durarão mais tempo quando feitos com estatísticas de artesanato mais altas.</v>
      </c>
      <c r="H148" s="24" t="str">
        <f ca="1">IFERROR(__xludf.DUMMYFUNCTION("GOOGLETRANSLATE(B148, ""en"", ""de"")"),"Nächstes Mal besser vorbereitet sein. Gegenstände halten länger, wenn sie mit höheren Bastelstattern hergestellt werden.")</f>
        <v>Nächstes Mal besser vorbereitet sein. Gegenstände halten länger, wenn sie mit höheren Bastelstattern hergestellt werden.</v>
      </c>
      <c r="I148" s="23" t="str">
        <f ca="1">IFERROR(__xludf.DUMMYFUNCTION("GOOGLETRANSLATE(B148,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8" s="25" t="str">
        <f ca="1">IFERROR(__xludf.DUMMYFUNCTION("GOOGLETRANSLATE(B148, ""en"", ""zh"")"),"下次准备好。用更高的制作统计数据制作时，物品将持续更长时间。")</f>
        <v>下次准备好。用更高的制作统计数据制作时，物品将持续更长时间。</v>
      </c>
      <c r="K148" s="25" t="str">
        <f ca="1">IFERROR(__xludf.DUMMYFUNCTION("GOOGLETRANSLATE(B148,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8" s="26" t="str">
        <f ca="1">IFERROR(__xludf.DUMMYFUNCTION("GOOGLETRANSLATE(B148, ""en"", ""hr"")"),"Biti bolje pripremljeni sljedeći put. Stavke će trajati duže kada su napravljene s višim statistikom za izradu.")</f>
        <v>Biti bolje pripremljeni sljedeći put. Stavke će trajati duže kada su napravljene s višim statistikom za izradu.</v>
      </c>
      <c r="M148" s="28"/>
      <c r="N148" s="28"/>
      <c r="O148" s="28"/>
      <c r="P148" s="28"/>
      <c r="Q148" s="28"/>
      <c r="R148" s="28"/>
      <c r="S148" s="28"/>
      <c r="T148" s="28"/>
      <c r="U148" s="28"/>
      <c r="V148" s="28"/>
      <c r="W148" s="28"/>
      <c r="X148" s="28"/>
      <c r="Y148" s="28"/>
      <c r="Z148" s="28"/>
      <c r="AA148" s="28"/>
      <c r="AB148" s="28"/>
    </row>
    <row r="149" spans="1:28" ht="70" x14ac:dyDescent="0.15">
      <c r="A149" s="21" t="s">
        <v>301</v>
      </c>
      <c r="B149" s="22" t="s">
        <v>302</v>
      </c>
      <c r="C149" s="23" t="s">
        <v>303</v>
      </c>
      <c r="D149" s="23" t="str">
        <f ca="1">IFERROR(__xludf.DUMMYFUNCTION("GOOGLETRANSLATE(B149, ""en"", ""es"")"),"Intenta trabajar con otros jugadores al hacer algo peligroso.")</f>
        <v>Intenta trabajar con otros jugadores al hacer algo peligroso.</v>
      </c>
      <c r="E149" s="23" t="str">
        <f ca="1">IFERROR(__xludf.DUMMYFUNCTION("GOOGLETRANSLATE(B149, ""en"", ""ru"")"),"Попробуйте работать с другими игроками, когда делаю что-то опасное.")</f>
        <v>Попробуйте работать с другими игроками, когда делаю что-то опасное.</v>
      </c>
      <c r="F149" s="23" t="str">
        <f ca="1">IFERROR(__xludf.DUMMYFUNCTION("GOOGLETRANSLATE(B149, ""en"", ""tr"")"),"Tehlikeli bir şey yaparken diğer oyuncularla çalışmayı deneyin.")</f>
        <v>Tehlikeli bir şey yaparken diğer oyuncularla çalışmayı deneyin.</v>
      </c>
      <c r="G149" s="23" t="str">
        <f ca="1">IFERROR(__xludf.DUMMYFUNCTION("GOOGLETRANSLATE(B149, ""en"", ""pt"")"),"Tente trabalhar com outros jogadores ao fazer algo perigoso.")</f>
        <v>Tente trabalhar com outros jogadores ao fazer algo perigoso.</v>
      </c>
      <c r="H149" s="24" t="str">
        <f ca="1">IFERROR(__xludf.DUMMYFUNCTION("GOOGLETRANSLATE(B149, ""en"", ""de"")"),"Versuchen Sie, mit anderen Spielern zu arbeiten, wenn Sie etwas Gefährliches tun.")</f>
        <v>Versuchen Sie, mit anderen Spielern zu arbeiten, wenn Sie etwas Gefährliches tun.</v>
      </c>
      <c r="I149" s="23" t="str">
        <f ca="1">IFERROR(__xludf.DUMMYFUNCTION("GOOGLETRANSLATE(B149, ""en"", ""pl"")"),"Spróbuj pracować z innymi graczami, gdy robiąc coś niebezpiecznego.")</f>
        <v>Spróbuj pracować z innymi graczami, gdy robiąc coś niebezpiecznego.</v>
      </c>
      <c r="J149" s="25" t="str">
        <f ca="1">IFERROR(__xludf.DUMMYFUNCTION("GOOGLETRANSLATE(B149, ""en"", ""zh"")"),"尝试在做一些危险时与其他玩家一起使用。")</f>
        <v>尝试在做一些危险时与其他玩家一起使用。</v>
      </c>
      <c r="K149" s="25" t="str">
        <f ca="1">IFERROR(__xludf.DUMMYFUNCTION("GOOGLETRANSLATE(B149, ""en"", ""vi"")"),"Hãy thử làm việc với những người chơi khác khi làm một cái gì đó nguy hiểm.")</f>
        <v>Hãy thử làm việc với những người chơi khác khi làm một cái gì đó nguy hiểm.</v>
      </c>
      <c r="L149" s="26" t="str">
        <f ca="1">IFERROR(__xludf.DUMMYFUNCTION("GOOGLETRANSLATE(B149, ""en"", ""hr"")"),"Pokušajte raditi s drugim igračima kada radite nešto opasno.")</f>
        <v>Pokušajte raditi s drugim igračima kada radite nešto opasno.</v>
      </c>
      <c r="M149" s="28"/>
      <c r="N149" s="28"/>
      <c r="O149" s="28"/>
      <c r="P149" s="28"/>
      <c r="Q149" s="28"/>
      <c r="R149" s="28"/>
      <c r="S149" s="28"/>
      <c r="T149" s="28"/>
      <c r="U149" s="28"/>
      <c r="V149" s="28"/>
      <c r="W149" s="28"/>
      <c r="X149" s="28"/>
      <c r="Y149" s="28"/>
      <c r="Z149" s="28"/>
      <c r="AA149" s="28"/>
      <c r="AB149" s="28"/>
    </row>
    <row r="150" spans="1:28" ht="56" x14ac:dyDescent="0.15">
      <c r="A150" s="21" t="s">
        <v>304</v>
      </c>
      <c r="B150" s="22" t="s">
        <v>305</v>
      </c>
      <c r="C150" s="23" t="s">
        <v>306</v>
      </c>
      <c r="D150" s="23" t="str">
        <f ca="1">IFERROR(__xludf.DUMMYFUNCTION("GOOGLETRANSLATE(B150, ""en"", ""es"")"),"Muchas criaturas peligrosas solo aparecen por la noche.")</f>
        <v>Muchas criaturas peligrosas solo aparecen por la noche.</v>
      </c>
      <c r="E150" s="23" t="str">
        <f ca="1">IFERROR(__xludf.DUMMYFUNCTION("GOOGLETRANSLATE(B150, ""en"", ""ru"")"),"Многие опасные существа появляются только ночью.")</f>
        <v>Многие опасные существа появляются только ночью.</v>
      </c>
      <c r="F150" s="23" t="str">
        <f ca="1">IFERROR(__xludf.DUMMYFUNCTION("GOOGLETRANSLATE(B150, ""en"", ""tr"")"),"Birçok tehlikeli yaratık sadece geceleri ortaya çıkar.")</f>
        <v>Birçok tehlikeli yaratık sadece geceleri ortaya çıkar.</v>
      </c>
      <c r="G150" s="23" t="str">
        <f ca="1">IFERROR(__xludf.DUMMYFUNCTION("GOOGLETRANSLATE(B150, ""en"", ""pt"")"),"Muitas criaturas perigosas aparecem apenas à noite.")</f>
        <v>Muitas criaturas perigosas aparecem apenas à noite.</v>
      </c>
      <c r="H150" s="24" t="str">
        <f ca="1">IFERROR(__xludf.DUMMYFUNCTION("GOOGLETRANSLATE(B150, ""en"", ""de"")"),"Viele gefährliche Kreaturen erscheinen nur nachts.")</f>
        <v>Viele gefährliche Kreaturen erscheinen nur nachts.</v>
      </c>
      <c r="I150" s="23" t="str">
        <f ca="1">IFERROR(__xludf.DUMMYFUNCTION("GOOGLETRANSLATE(B150, ""en"", ""pl"")"),"Wiele niebezpiecznych stworzeń pojawia się tylko w nocy.")</f>
        <v>Wiele niebezpiecznych stworzeń pojawia się tylko w nocy.</v>
      </c>
      <c r="J150" s="25" t="str">
        <f ca="1">IFERROR(__xludf.DUMMYFUNCTION("GOOGLETRANSLATE(B150, ""en"", ""zh"")"),"许多危险的生物只出现在晚上。")</f>
        <v>许多危险的生物只出现在晚上。</v>
      </c>
      <c r="K150" s="25" t="str">
        <f ca="1">IFERROR(__xludf.DUMMYFUNCTION("GOOGLETRANSLATE(B150, ""en"", ""vi"")"),"Nhiều sinh vật nguy hiểm chỉ xuất hiện vào ban đêm.")</f>
        <v>Nhiều sinh vật nguy hiểm chỉ xuất hiện vào ban đêm.</v>
      </c>
      <c r="L150" s="26" t="str">
        <f ca="1">IFERROR(__xludf.DUMMYFUNCTION("GOOGLETRANSLATE(B150, ""en"", ""hr"")"),"Mnoga opasna stvorenja pojavljuju se samo noću.")</f>
        <v>Mnoga opasna stvorenja pojavljuju se samo noću.</v>
      </c>
      <c r="M150" s="28"/>
      <c r="N150" s="28"/>
      <c r="O150" s="28"/>
      <c r="P150" s="28"/>
      <c r="Q150" s="28"/>
      <c r="R150" s="28"/>
      <c r="S150" s="28"/>
      <c r="T150" s="28"/>
      <c r="U150" s="28"/>
      <c r="V150" s="28"/>
      <c r="W150" s="28"/>
      <c r="X150" s="28"/>
      <c r="Y150" s="28"/>
      <c r="Z150" s="28"/>
      <c r="AA150" s="28"/>
      <c r="AB150" s="28"/>
    </row>
    <row r="151" spans="1:28" ht="14" x14ac:dyDescent="0.15">
      <c r="A151" s="21" t="s">
        <v>307</v>
      </c>
      <c r="B151" s="22" t="s">
        <v>307</v>
      </c>
      <c r="C151" s="23" t="s">
        <v>308</v>
      </c>
      <c r="D151" s="23" t="str">
        <f ca="1">IFERROR(__xludf.DUMMYFUNCTION("GOOGLETRANSLATE(B151, ""en"", ""es"")"),"Reaparecer")</f>
        <v>Reaparecer</v>
      </c>
      <c r="E151" s="23" t="str">
        <f ca="1">IFERROR(__xludf.DUMMYFUNCTION("GOOGLETRANSLATE(B151, ""en"", ""ru"")"),"респаун")</f>
        <v>респаун</v>
      </c>
      <c r="F151" s="23" t="str">
        <f ca="1">IFERROR(__xludf.DUMMYFUNCTION("GOOGLETRANSLATE(B151, ""en"", ""tr"")"),"yeniden doğma")</f>
        <v>yeniden doğma</v>
      </c>
      <c r="G151" s="23" t="str">
        <f ca="1">IFERROR(__xludf.DUMMYFUNCTION("GOOGLETRANSLATE(B151, ""en"", ""pt"")"),"reaparecimento")</f>
        <v>reaparecimento</v>
      </c>
      <c r="H151" s="24" t="str">
        <f ca="1">IFERROR(__xludf.DUMMYFUNCTION("GOOGLETRANSLATE(B151, ""en"", ""de"")"),"Respawnt.")</f>
        <v>Respawnt.</v>
      </c>
      <c r="I151" s="23" t="str">
        <f ca="1">IFERROR(__xludf.DUMMYFUNCTION("GOOGLETRANSLATE(B151, ""en"", ""pl"")"),"Odradzać się")</f>
        <v>Odradzać się</v>
      </c>
      <c r="J151" s="25" t="str">
        <f ca="1">IFERROR(__xludf.DUMMYFUNCTION("GOOGLETRANSLATE(B151, ""en"", ""zh"")"),"重生")</f>
        <v>重生</v>
      </c>
      <c r="K151" s="25" t="str">
        <f ca="1">IFERROR(__xludf.DUMMYFUNCTION("GOOGLETRANSLATE(B151, ""en"", ""vi"")"),"Hồi sinh")</f>
        <v>Hồi sinh</v>
      </c>
      <c r="L151" s="26" t="str">
        <f ca="1">IFERROR(__xludf.DUMMYFUNCTION("GOOGLETRANSLATE(B151, ""en"", ""hr"")"),"Respirati")</f>
        <v>Respirati</v>
      </c>
      <c r="M151" s="28"/>
      <c r="N151" s="28"/>
      <c r="O151" s="28"/>
      <c r="P151" s="28"/>
      <c r="Q151" s="28"/>
      <c r="R151" s="28"/>
      <c r="S151" s="28"/>
      <c r="T151" s="28"/>
      <c r="U151" s="28"/>
      <c r="V151" s="28"/>
      <c r="W151" s="28"/>
      <c r="X151" s="28"/>
      <c r="Y151" s="28"/>
      <c r="Z151" s="28"/>
      <c r="AA151" s="28"/>
      <c r="AB151" s="28"/>
    </row>
    <row r="152" spans="1:28" ht="14" x14ac:dyDescent="0.15">
      <c r="A152" s="21" t="s">
        <v>309</v>
      </c>
      <c r="B152" s="22" t="s">
        <v>309</v>
      </c>
      <c r="C152" s="23" t="str">
        <f ca="1">IFERROR(__xludf.DUMMYFUNCTION("GOOGLETRANSLATE(B152, ""en"", ""fr"")"),"Donjon")</f>
        <v>Donjon</v>
      </c>
      <c r="D152" s="23" t="str">
        <f ca="1">IFERROR(__xludf.DUMMYFUNCTION("GOOGLETRANSLATE(B152, ""en"", ""es"")"),"Calabozo")</f>
        <v>Calabozo</v>
      </c>
      <c r="E152" s="23" t="str">
        <f ca="1">IFERROR(__xludf.DUMMYFUNCTION("GOOGLETRANSLATE(B152, ""en"", ""ru"")"),"Темница")</f>
        <v>Темница</v>
      </c>
      <c r="F152" s="23" t="str">
        <f ca="1">IFERROR(__xludf.DUMMYFUNCTION("GOOGLETRANSLATE(B152, ""en"", ""tr"")"),"Zindan")</f>
        <v>Zindan</v>
      </c>
      <c r="G152" s="23" t="str">
        <f ca="1">IFERROR(__xludf.DUMMYFUNCTION("GOOGLETRANSLATE(B152, ""en"", ""pt"")"),"Masmorra")</f>
        <v>Masmorra</v>
      </c>
      <c r="H152" s="24" t="str">
        <f ca="1">IFERROR(__xludf.DUMMYFUNCTION("GOOGLETRANSLATE(B152, ""en"", ""de"")"),"Verlies")</f>
        <v>Verlies</v>
      </c>
      <c r="I152" s="23" t="str">
        <f ca="1">IFERROR(__xludf.DUMMYFUNCTION("GOOGLETRANSLATE(B152, ""en"", ""pl"")"),"Loch")</f>
        <v>Loch</v>
      </c>
      <c r="J152" s="25" t="str">
        <f ca="1">IFERROR(__xludf.DUMMYFUNCTION("GOOGLETRANSLATE(B152, ""en"", ""zh"")"),"地牢")</f>
        <v>地牢</v>
      </c>
      <c r="K152" s="25" t="str">
        <f ca="1">IFERROR(__xludf.DUMMYFUNCTION("GOOGLETRANSLATE(B152, ""en"", ""vi"")"),"Ngục tối")</f>
        <v>Ngục tối</v>
      </c>
      <c r="L152" s="26" t="str">
        <f ca="1">IFERROR(__xludf.DUMMYFUNCTION("GOOGLETRANSLATE(B152, ""en"", ""hr"")"),"Tamnica")</f>
        <v>Tamnica</v>
      </c>
      <c r="M152" s="28"/>
      <c r="N152" s="28"/>
      <c r="O152" s="28"/>
      <c r="P152" s="28"/>
      <c r="Q152" s="28"/>
      <c r="R152" s="28"/>
      <c r="S152" s="28"/>
      <c r="T152" s="28"/>
      <c r="U152" s="28"/>
      <c r="V152" s="28"/>
      <c r="W152" s="28"/>
      <c r="X152" s="28"/>
      <c r="Y152" s="28"/>
      <c r="Z152" s="28"/>
      <c r="AA152" s="28"/>
      <c r="AB152" s="28"/>
    </row>
    <row r="153" spans="1:28" ht="14" x14ac:dyDescent="0.15">
      <c r="A153" s="21" t="s">
        <v>310</v>
      </c>
      <c r="B153" s="22" t="s">
        <v>310</v>
      </c>
      <c r="C153" s="23" t="str">
        <f ca="1">IFERROR(__xludf.DUMMYFUNCTION("GOOGLETRANSLATE(B153, ""en"", ""fr"")"),"Difficulté")</f>
        <v>Difficulté</v>
      </c>
      <c r="D153" s="23" t="str">
        <f ca="1">IFERROR(__xludf.DUMMYFUNCTION("GOOGLETRANSLATE(B153, ""en"", ""es"")"),"Dificultad")</f>
        <v>Dificultad</v>
      </c>
      <c r="E153" s="23" t="str">
        <f ca="1">IFERROR(__xludf.DUMMYFUNCTION("GOOGLETRANSLATE(B153, ""en"", ""ru"")"),"Затруднение")</f>
        <v>Затруднение</v>
      </c>
      <c r="F153" s="23" t="str">
        <f ca="1">IFERROR(__xludf.DUMMYFUNCTION("GOOGLETRANSLATE(B153, ""en"", ""tr"")"),"Zorluk")</f>
        <v>Zorluk</v>
      </c>
      <c r="G153" s="23" t="str">
        <f ca="1">IFERROR(__xludf.DUMMYFUNCTION("GOOGLETRANSLATE(B153, ""en"", ""pt"")"),"Dificuldade")</f>
        <v>Dificuldade</v>
      </c>
      <c r="H153" s="24" t="str">
        <f ca="1">IFERROR(__xludf.DUMMYFUNCTION("GOOGLETRANSLATE(B153, ""en"", ""de"")"),"Schwierigkeit")</f>
        <v>Schwierigkeit</v>
      </c>
      <c r="I153" s="23" t="str">
        <f ca="1">IFERROR(__xludf.DUMMYFUNCTION("GOOGLETRANSLATE(B153, ""en"", ""pl"")"),"Trudność")</f>
        <v>Trudność</v>
      </c>
      <c r="J153" s="25" t="str">
        <f ca="1">IFERROR(__xludf.DUMMYFUNCTION("GOOGLETRANSLATE(B153, ""en"", ""zh"")"),"困难")</f>
        <v>困难</v>
      </c>
      <c r="K153" s="25" t="str">
        <f ca="1">IFERROR(__xludf.DUMMYFUNCTION("GOOGLETRANSLATE(B153, ""en"", ""vi"")"),"Khó khăn")</f>
        <v>Khó khăn</v>
      </c>
      <c r="L153" s="26" t="str">
        <f ca="1">IFERROR(__xludf.DUMMYFUNCTION("GOOGLETRANSLATE(B153, ""en"", ""hr"")"),"Poteškoća")</f>
        <v>Poteškoća</v>
      </c>
      <c r="M153" s="28"/>
      <c r="N153" s="28"/>
      <c r="O153" s="28"/>
      <c r="P153" s="28"/>
      <c r="Q153" s="28"/>
      <c r="R153" s="28"/>
      <c r="S153" s="28"/>
      <c r="T153" s="28"/>
      <c r="U153" s="28"/>
      <c r="V153" s="28"/>
      <c r="W153" s="28"/>
      <c r="X153" s="28"/>
      <c r="Y153" s="28"/>
      <c r="Z153" s="28"/>
      <c r="AA153" s="28"/>
      <c r="AB153" s="28"/>
    </row>
    <row r="154" spans="1:28" ht="14" x14ac:dyDescent="0.15">
      <c r="A154" s="21" t="s">
        <v>311</v>
      </c>
      <c r="B154" s="22" t="s">
        <v>311</v>
      </c>
      <c r="C154" s="23" t="str">
        <f ca="1">IFERROR(__xludf.DUMMYFUNCTION("GOOGLETRANSLATE(B154, ""en"", ""fr"")"),"Débutant")</f>
        <v>Débutant</v>
      </c>
      <c r="D154" s="23" t="str">
        <f ca="1">IFERROR(__xludf.DUMMYFUNCTION("GOOGLETRANSLATE(B154, ""en"", ""es"")"),"Principiante")</f>
        <v>Principiante</v>
      </c>
      <c r="E154" s="23" t="str">
        <f ca="1">IFERROR(__xludf.DUMMYFUNCTION("GOOGLETRANSLATE(B154, ""en"", ""ru"")"),"Новичок")</f>
        <v>Новичок</v>
      </c>
      <c r="F154" s="23" t="str">
        <f ca="1">IFERROR(__xludf.DUMMYFUNCTION("GOOGLETRANSLATE(B154, ""en"", ""tr"")"),"Acemi")</f>
        <v>Acemi</v>
      </c>
      <c r="G154" s="23" t="str">
        <f ca="1">IFERROR(__xludf.DUMMYFUNCTION("GOOGLETRANSLATE(B154, ""en"", ""pt"")"),"Principiante")</f>
        <v>Principiante</v>
      </c>
      <c r="H154" s="24" t="str">
        <f ca="1">IFERROR(__xludf.DUMMYFUNCTION("GOOGLETRANSLATE(B154, ""en"", ""de"")"),"Anfänger")</f>
        <v>Anfänger</v>
      </c>
      <c r="I154" s="23" t="str">
        <f ca="1">IFERROR(__xludf.DUMMYFUNCTION("GOOGLETRANSLATE(B154, ""en"", ""pl"")"),"Początkujący")</f>
        <v>Początkujący</v>
      </c>
      <c r="J154" s="25" t="str">
        <f ca="1">IFERROR(__xludf.DUMMYFUNCTION("GOOGLETRANSLATE(B154, ""en"", ""zh"")"),"初学者")</f>
        <v>初学者</v>
      </c>
      <c r="K154" s="25" t="str">
        <f ca="1">IFERROR(__xludf.DUMMYFUNCTION("GOOGLETRANSLATE(B154, ""en"", ""vi"")"),"Người bắt đầu")</f>
        <v>Người bắt đầu</v>
      </c>
      <c r="L154" s="26" t="str">
        <f ca="1">IFERROR(__xludf.DUMMYFUNCTION("GOOGLETRANSLATE(B154, ""en"", ""hr"")"),"Početnik")</f>
        <v>Početnik</v>
      </c>
      <c r="M154" s="28"/>
      <c r="N154" s="28"/>
      <c r="O154" s="28"/>
      <c r="P154" s="28"/>
      <c r="Q154" s="28"/>
      <c r="R154" s="28"/>
      <c r="S154" s="28"/>
      <c r="T154" s="28"/>
      <c r="U154" s="28"/>
      <c r="V154" s="28"/>
      <c r="W154" s="28"/>
      <c r="X154" s="28"/>
      <c r="Y154" s="28"/>
      <c r="Z154" s="28"/>
      <c r="AA154" s="28"/>
      <c r="AB154" s="28"/>
    </row>
    <row r="155" spans="1:28" ht="14" x14ac:dyDescent="0.15">
      <c r="A155" s="21" t="s">
        <v>312</v>
      </c>
      <c r="B155" s="22" t="s">
        <v>312</v>
      </c>
      <c r="C155" s="23" t="str">
        <f ca="1">IFERROR(__xludf.DUMMYFUNCTION("GOOGLETRANSLATE(B155, ""en"", ""fr"")"),"Avancée")</f>
        <v>Avancée</v>
      </c>
      <c r="D155" s="23" t="str">
        <f ca="1">IFERROR(__xludf.DUMMYFUNCTION("GOOGLETRANSLATE(B155, ""en"", ""es"")"),"Avanzado")</f>
        <v>Avanzado</v>
      </c>
      <c r="E155" s="23" t="str">
        <f ca="1">IFERROR(__xludf.DUMMYFUNCTION("GOOGLETRANSLATE(B155, ""en"", ""ru"")"),"Передовой")</f>
        <v>Передовой</v>
      </c>
      <c r="F155" s="23" t="str">
        <f ca="1">IFERROR(__xludf.DUMMYFUNCTION("GOOGLETRANSLATE(B155, ""en"", ""tr"")"),"ileri")</f>
        <v>ileri</v>
      </c>
      <c r="G155" s="23" t="str">
        <f ca="1">IFERROR(__xludf.DUMMYFUNCTION("GOOGLETRANSLATE(B155, ""en"", ""pt"")"),"Avançado")</f>
        <v>Avançado</v>
      </c>
      <c r="H155" s="24" t="str">
        <f ca="1">IFERROR(__xludf.DUMMYFUNCTION("GOOGLETRANSLATE(B155, ""en"", ""de"")"),"Fortschrittlich")</f>
        <v>Fortschrittlich</v>
      </c>
      <c r="I155" s="23" t="str">
        <f ca="1">IFERROR(__xludf.DUMMYFUNCTION("GOOGLETRANSLATE(B155, ""en"", ""pl"")"),"Zaawansowany")</f>
        <v>Zaawansowany</v>
      </c>
      <c r="J155" s="25" t="str">
        <f ca="1">IFERROR(__xludf.DUMMYFUNCTION("GOOGLETRANSLATE(B155, ""en"", ""zh"")"),"先进的")</f>
        <v>先进的</v>
      </c>
      <c r="K155" s="25" t="str">
        <f ca="1">IFERROR(__xludf.DUMMYFUNCTION("GOOGLETRANSLATE(B155, ""en"", ""vi"")"),"Nâng cao")</f>
        <v>Nâng cao</v>
      </c>
      <c r="L155" s="26" t="str">
        <f ca="1">IFERROR(__xludf.DUMMYFUNCTION("GOOGLETRANSLATE(B155, ""en"", ""hr"")"),"Napredna")</f>
        <v>Napredna</v>
      </c>
      <c r="M155" s="28"/>
      <c r="N155" s="28"/>
      <c r="O155" s="28"/>
      <c r="P155" s="28"/>
      <c r="Q155" s="28"/>
      <c r="R155" s="28"/>
      <c r="S155" s="28"/>
      <c r="T155" s="28"/>
      <c r="U155" s="28"/>
      <c r="V155" s="28"/>
      <c r="W155" s="28"/>
      <c r="X155" s="28"/>
      <c r="Y155" s="28"/>
      <c r="Z155" s="28"/>
      <c r="AA155" s="28"/>
      <c r="AB155" s="28"/>
    </row>
    <row r="156" spans="1:28" ht="14" x14ac:dyDescent="0.15">
      <c r="A156" s="21" t="s">
        <v>313</v>
      </c>
      <c r="B156" s="22" t="s">
        <v>313</v>
      </c>
      <c r="C156" s="23" t="str">
        <f ca="1">IFERROR(__xludf.DUMMYFUNCTION("GOOGLETRANSLATE(B156, ""en"", ""fr"")"),"Expert")</f>
        <v>Expert</v>
      </c>
      <c r="D156" s="23" t="str">
        <f ca="1">IFERROR(__xludf.DUMMYFUNCTION("GOOGLETRANSLATE(B156, ""en"", ""es"")"),"Experto")</f>
        <v>Experto</v>
      </c>
      <c r="E156" s="23" t="str">
        <f ca="1">IFERROR(__xludf.DUMMYFUNCTION("GOOGLETRANSLATE(B156, ""en"", ""ru"")"),"Эксперт")</f>
        <v>Эксперт</v>
      </c>
      <c r="F156" s="23" t="str">
        <f ca="1">IFERROR(__xludf.DUMMYFUNCTION("GOOGLETRANSLATE(B156, ""en"", ""tr"")"),"Uzman")</f>
        <v>Uzman</v>
      </c>
      <c r="G156" s="23" t="str">
        <f ca="1">IFERROR(__xludf.DUMMYFUNCTION("GOOGLETRANSLATE(B156, ""en"", ""pt"")"),"Especialista")</f>
        <v>Especialista</v>
      </c>
      <c r="H156" s="24" t="str">
        <f ca="1">IFERROR(__xludf.DUMMYFUNCTION("GOOGLETRANSLATE(B156, ""en"", ""de"")"),"Experte")</f>
        <v>Experte</v>
      </c>
      <c r="I156" s="23" t="str">
        <f ca="1">IFERROR(__xludf.DUMMYFUNCTION("GOOGLETRANSLATE(B156, ""en"", ""pl"")"),"Ekspert")</f>
        <v>Ekspert</v>
      </c>
      <c r="J156" s="25" t="str">
        <f ca="1">IFERROR(__xludf.DUMMYFUNCTION("GOOGLETRANSLATE(B156, ""en"", ""zh"")"),"专家")</f>
        <v>专家</v>
      </c>
      <c r="K156" s="25" t="str">
        <f ca="1">IFERROR(__xludf.DUMMYFUNCTION("GOOGLETRANSLATE(B156, ""en"", ""vi"")"),"Thạo")</f>
        <v>Thạo</v>
      </c>
      <c r="L156" s="26" t="str">
        <f ca="1">IFERROR(__xludf.DUMMYFUNCTION("GOOGLETRANSLATE(B156, ""en"", ""hr"")"),"Stručnjak")</f>
        <v>Stručnjak</v>
      </c>
      <c r="M156" s="28"/>
      <c r="N156" s="28"/>
      <c r="O156" s="28"/>
      <c r="P156" s="28"/>
      <c r="Q156" s="28"/>
      <c r="R156" s="28"/>
      <c r="S156" s="28"/>
      <c r="T156" s="28"/>
      <c r="U156" s="28"/>
      <c r="V156" s="28"/>
      <c r="W156" s="28"/>
      <c r="X156" s="28"/>
      <c r="Y156" s="28"/>
      <c r="Z156" s="28"/>
      <c r="AA156" s="28"/>
      <c r="AB156" s="28"/>
    </row>
    <row r="157" spans="1:28" ht="14" x14ac:dyDescent="0.15">
      <c r="A157" s="21" t="s">
        <v>314</v>
      </c>
      <c r="B157" s="22" t="s">
        <v>314</v>
      </c>
      <c r="C157" s="23" t="str">
        <f ca="1">IFERROR(__xludf.DUMMYFUNCTION("GOOGLETRANSLATE(B157, ""en"", ""fr"")"),"Maître")</f>
        <v>Maître</v>
      </c>
      <c r="D157" s="23" t="str">
        <f ca="1">IFERROR(__xludf.DUMMYFUNCTION("GOOGLETRANSLATE(B157, ""en"", ""es"")"),"Maestría")</f>
        <v>Maestría</v>
      </c>
      <c r="E157" s="23" t="str">
        <f ca="1">IFERROR(__xludf.DUMMYFUNCTION("GOOGLETRANSLATE(B157, ""en"", ""ru"")"),"Мастер")</f>
        <v>Мастер</v>
      </c>
      <c r="F157" s="23" t="str">
        <f ca="1">IFERROR(__xludf.DUMMYFUNCTION("GOOGLETRANSLATE(B157, ""en"", ""tr"")"),"Usta")</f>
        <v>Usta</v>
      </c>
      <c r="G157" s="23" t="str">
        <f ca="1">IFERROR(__xludf.DUMMYFUNCTION("GOOGLETRANSLATE(B157, ""en"", ""pt"")"),"Mestre")</f>
        <v>Mestre</v>
      </c>
      <c r="H157" s="24" t="str">
        <f ca="1">IFERROR(__xludf.DUMMYFUNCTION("GOOGLETRANSLATE(B157, ""en"", ""de"")"),"Meister")</f>
        <v>Meister</v>
      </c>
      <c r="I157" s="23" t="str">
        <f ca="1">IFERROR(__xludf.DUMMYFUNCTION("GOOGLETRANSLATE(B157, ""en"", ""pl"")"),"Gospodarz")</f>
        <v>Gospodarz</v>
      </c>
      <c r="J157" s="25" t="str">
        <f ca="1">IFERROR(__xludf.DUMMYFUNCTION("GOOGLETRANSLATE(B157, ""en"", ""zh"")"),"掌握")</f>
        <v>掌握</v>
      </c>
      <c r="K157" s="25" t="str">
        <f ca="1">IFERROR(__xludf.DUMMYFUNCTION("GOOGLETRANSLATE(B157, ""en"", ""vi"")"),"Bậc thầy")</f>
        <v>Bậc thầy</v>
      </c>
      <c r="L157" s="26" t="str">
        <f ca="1">IFERROR(__xludf.DUMMYFUNCTION("GOOGLETRANSLATE(B157, ""en"", ""hr"")"),"Ovladati; majstorski")</f>
        <v>Ovladati; majstorski</v>
      </c>
      <c r="M157" s="28"/>
      <c r="N157" s="28"/>
      <c r="O157" s="28"/>
      <c r="P157" s="28"/>
      <c r="Q157" s="28"/>
      <c r="R157" s="28"/>
      <c r="S157" s="28"/>
      <c r="T157" s="28"/>
      <c r="U157" s="28"/>
      <c r="V157" s="28"/>
      <c r="W157" s="28"/>
      <c r="X157" s="28"/>
      <c r="Y157" s="28"/>
      <c r="Z157" s="28"/>
      <c r="AA157" s="28"/>
      <c r="AB157" s="28"/>
    </row>
    <row r="158" spans="1:28" ht="14" x14ac:dyDescent="0.15">
      <c r="A158" s="21" t="s">
        <v>315</v>
      </c>
      <c r="B158" s="22" t="s">
        <v>315</v>
      </c>
      <c r="C158" s="23" t="str">
        <f ca="1">IFERROR(__xludf.DUMMYFUNCTION("GOOGLETRANSLATE(B158, ""en"", ""fr"")"),"Coût d'entrée")</f>
        <v>Coût d'entrée</v>
      </c>
      <c r="D158" s="23" t="str">
        <f ca="1">IFERROR(__xludf.DUMMYFUNCTION("GOOGLETRANSLATE(B158, ""en"", ""es"")"),"Costo de entrada")</f>
        <v>Costo de entrada</v>
      </c>
      <c r="E158" s="23" t="str">
        <f ca="1">IFERROR(__xludf.DUMMYFUNCTION("GOOGLETRANSLATE(B158, ""en"", ""ru"")"),"Стоимость входа")</f>
        <v>Стоимость входа</v>
      </c>
      <c r="F158" s="23" t="str">
        <f ca="1">IFERROR(__xludf.DUMMYFUNCTION("GOOGLETRANSLATE(B158, ""en"", ""tr"")"),"Giriş maliyeti")</f>
        <v>Giriş maliyeti</v>
      </c>
      <c r="G158" s="23" t="str">
        <f ca="1">IFERROR(__xludf.DUMMYFUNCTION("GOOGLETRANSLATE(B158, ""en"", ""pt"")"),"Custo de entrada")</f>
        <v>Custo de entrada</v>
      </c>
      <c r="H158" s="24" t="str">
        <f ca="1">IFERROR(__xludf.DUMMYFUNCTION("GOOGLETRANSLATE(B158, ""en"", ""de"")"),"Eintrittskosten")</f>
        <v>Eintrittskosten</v>
      </c>
      <c r="I158" s="23" t="str">
        <f ca="1">IFERROR(__xludf.DUMMYFUNCTION("GOOGLETRANSLATE(B158, ""en"", ""pl"")"),"Koszt wejścia.")</f>
        <v>Koszt wejścia.</v>
      </c>
      <c r="J158" s="25" t="str">
        <f ca="1">IFERROR(__xludf.DUMMYFUNCTION("GOOGLETRANSLATE(B158, ""en"", ""zh"")"),"入场费")</f>
        <v>入场费</v>
      </c>
      <c r="K158" s="25" t="str">
        <f ca="1">IFERROR(__xludf.DUMMYFUNCTION("GOOGLETRANSLATE(B158, ""en"", ""vi"")"),"Chi phí nhập cảnh")</f>
        <v>Chi phí nhập cảnh</v>
      </c>
      <c r="L158" s="26" t="str">
        <f ca="1">IFERROR(__xludf.DUMMYFUNCTION("GOOGLETRANSLATE(B158, ""en"", ""hr"")"),"Trošak ulaska")</f>
        <v>Trošak ulaska</v>
      </c>
      <c r="M158" s="28"/>
      <c r="N158" s="28"/>
      <c r="O158" s="28"/>
      <c r="P158" s="28"/>
      <c r="Q158" s="28"/>
      <c r="R158" s="28"/>
      <c r="S158" s="28"/>
      <c r="T158" s="28"/>
      <c r="U158" s="28"/>
      <c r="V158" s="28"/>
      <c r="W158" s="28"/>
      <c r="X158" s="28"/>
      <c r="Y158" s="28"/>
      <c r="Z158" s="28"/>
      <c r="AA158" s="28"/>
      <c r="AB158" s="28"/>
    </row>
    <row r="159" spans="1:28" ht="14" x14ac:dyDescent="0.15">
      <c r="A159" s="21" t="s">
        <v>316</v>
      </c>
      <c r="B159" s="22" t="s">
        <v>316</v>
      </c>
      <c r="C159" s="23" t="s">
        <v>317</v>
      </c>
      <c r="D159" s="23" t="str">
        <f ca="1">IFERROR(__xludf.DUMMYFUNCTION("GOOGLETRANSLATE(B159, ""en"", ""es"")"),"jugadores máximos")</f>
        <v>jugadores máximos</v>
      </c>
      <c r="E159" s="23" t="str">
        <f ca="1">IFERROR(__xludf.DUMMYFUNCTION("GOOGLETRANSLATE(B159, ""en"", ""ru"")"),"максимум игроков")</f>
        <v>максимум игроков</v>
      </c>
      <c r="F159" s="23" t="str">
        <f ca="1">IFERROR(__xludf.DUMMYFUNCTION("GOOGLETRANSLATE(B159, ""en"", ""tr"")"),"maksimum oyuncu")</f>
        <v>maksimum oyuncu</v>
      </c>
      <c r="G159" s="23" t="str">
        <f ca="1">IFERROR(__xludf.DUMMYFUNCTION("GOOGLETRANSLATE(B159, ""en"", ""pt"")"),"máximo de jogadores")</f>
        <v>máximo de jogadores</v>
      </c>
      <c r="H159" s="24" t="str">
        <f ca="1">IFERROR(__xludf.DUMMYFUNCTION("GOOGLETRANSLATE(B159, ""en"", ""de"")"),"Maximale Spieleranzahl")</f>
        <v>Maximale Spieleranzahl</v>
      </c>
      <c r="I159" s="23" t="str">
        <f ca="1">IFERROR(__xludf.DUMMYFUNCTION("GOOGLETRANSLATE(B159, ""en"", ""pl"")"),"maksimum graczy")</f>
        <v>maksimum graczy</v>
      </c>
      <c r="J159" s="25" t="str">
        <f ca="1">IFERROR(__xludf.DUMMYFUNCTION("GOOGLETRANSLATE(B159, ""en"", ""zh"")"),"最大球员")</f>
        <v>最大球员</v>
      </c>
      <c r="K159" s="25" t="str">
        <f ca="1">IFERROR(__xludf.DUMMYFUNCTION("GOOGLETRANSLATE(B159, ""en"", ""vi"")"),"Người chơi Max")</f>
        <v>Người chơi Max</v>
      </c>
      <c r="L159" s="26" t="str">
        <f ca="1">IFERROR(__xludf.DUMMYFUNCTION("GOOGLETRANSLATE(B159, ""en"", ""hr"")"),"maksimalno igrača")</f>
        <v>maksimalno igrača</v>
      </c>
      <c r="M159" s="28"/>
      <c r="N159" s="28"/>
      <c r="O159" s="28"/>
      <c r="P159" s="28"/>
      <c r="Q159" s="28"/>
      <c r="R159" s="28"/>
      <c r="S159" s="28"/>
      <c r="T159" s="28"/>
      <c r="U159" s="28"/>
      <c r="V159" s="28"/>
      <c r="W159" s="28"/>
      <c r="X159" s="28"/>
      <c r="Y159" s="28"/>
      <c r="Z159" s="28"/>
      <c r="AA159" s="28"/>
      <c r="AB159" s="28"/>
    </row>
    <row r="160" spans="1:28" ht="14" x14ac:dyDescent="0.15">
      <c r="A160" s="21" t="s">
        <v>318</v>
      </c>
      <c r="B160" s="22" t="s">
        <v>318</v>
      </c>
      <c r="C160" s="23" t="str">
        <f ca="1">IFERROR(__xludf.DUMMYFUNCTION("GOOGLETRANSLATE(B160, ""en"", ""fr"")"),"Créer")</f>
        <v>Créer</v>
      </c>
      <c r="D160" s="23" t="str">
        <f ca="1">IFERROR(__xludf.DUMMYFUNCTION("GOOGLETRANSLATE(B160, ""en"", ""es"")"),"Crear")</f>
        <v>Crear</v>
      </c>
      <c r="E160" s="23" t="str">
        <f ca="1">IFERROR(__xludf.DUMMYFUNCTION("GOOGLETRANSLATE(B160, ""en"", ""ru"")"),"Создавать")</f>
        <v>Создавать</v>
      </c>
      <c r="F160" s="23" t="str">
        <f ca="1">IFERROR(__xludf.DUMMYFUNCTION("GOOGLETRANSLATE(B160, ""en"", ""tr"")"),"Oluşturmak")</f>
        <v>Oluşturmak</v>
      </c>
      <c r="G160" s="23" t="str">
        <f ca="1">IFERROR(__xludf.DUMMYFUNCTION("GOOGLETRANSLATE(B160, ""en"", ""pt"")"),"Crio")</f>
        <v>Crio</v>
      </c>
      <c r="H160" s="24" t="str">
        <f ca="1">IFERROR(__xludf.DUMMYFUNCTION("GOOGLETRANSLATE(B160, ""en"", ""de"")"),"Schaffen")</f>
        <v>Schaffen</v>
      </c>
      <c r="I160" s="23" t="str">
        <f ca="1">IFERROR(__xludf.DUMMYFUNCTION("GOOGLETRANSLATE(B160, ""en"", ""pl"")"),"Tworzyć")</f>
        <v>Tworzyć</v>
      </c>
      <c r="J160" s="25" t="str">
        <f ca="1">IFERROR(__xludf.DUMMYFUNCTION("GOOGLETRANSLATE(B160, ""en"", ""zh"")"),"创建")</f>
        <v>创建</v>
      </c>
      <c r="K160" s="25" t="str">
        <f ca="1">IFERROR(__xludf.DUMMYFUNCTION("GOOGLETRANSLATE(B160, ""en"", ""vi"")"),"Tạo ra")</f>
        <v>Tạo ra</v>
      </c>
      <c r="L160" s="26" t="str">
        <f ca="1">IFERROR(__xludf.DUMMYFUNCTION("GOOGLETRANSLATE(B160, ""en"", ""hr"")"),"Stvoriti")</f>
        <v>Stvoriti</v>
      </c>
      <c r="M160" s="28"/>
      <c r="N160" s="28"/>
      <c r="O160" s="28"/>
      <c r="P160" s="28"/>
      <c r="Q160" s="28"/>
      <c r="R160" s="28"/>
      <c r="S160" s="28"/>
      <c r="T160" s="28"/>
      <c r="U160" s="28"/>
      <c r="V160" s="28"/>
      <c r="W160" s="28"/>
      <c r="X160" s="28"/>
      <c r="Y160" s="28"/>
      <c r="Z160" s="28"/>
      <c r="AA160" s="28"/>
      <c r="AB160" s="28"/>
    </row>
    <row r="161" spans="1:28" ht="14" x14ac:dyDescent="0.15">
      <c r="A161" s="21" t="s">
        <v>319</v>
      </c>
      <c r="B161" s="22" t="s">
        <v>319</v>
      </c>
      <c r="C161" s="23" t="str">
        <f ca="1">IFERROR(__xludf.DUMMYFUNCTION("GOOGLETRANSLATE(B161, ""en"", ""fr"")"),"Laisser")</f>
        <v>Laisser</v>
      </c>
      <c r="D161" s="23" t="str">
        <f ca="1">IFERROR(__xludf.DUMMYFUNCTION("GOOGLETRANSLATE(B161, ""en"", ""es"")"),"Dejar")</f>
        <v>Dejar</v>
      </c>
      <c r="E161" s="23" t="str">
        <f ca="1">IFERROR(__xludf.DUMMYFUNCTION("GOOGLETRANSLATE(B161, ""en"", ""ru"")"),"Оставлять")</f>
        <v>Оставлять</v>
      </c>
      <c r="F161" s="23" t="str">
        <f ca="1">IFERROR(__xludf.DUMMYFUNCTION("GOOGLETRANSLATE(B161, ""en"", ""tr"")"),"Terk etmek")</f>
        <v>Terk etmek</v>
      </c>
      <c r="G161" s="23" t="str">
        <f ca="1">IFERROR(__xludf.DUMMYFUNCTION("GOOGLETRANSLATE(B161, ""en"", ""pt"")"),"Sair")</f>
        <v>Sair</v>
      </c>
      <c r="H161" s="24" t="str">
        <f ca="1">IFERROR(__xludf.DUMMYFUNCTION("GOOGLETRANSLATE(B161, ""en"", ""de"")"),"Verlassen")</f>
        <v>Verlassen</v>
      </c>
      <c r="I161" s="23" t="str">
        <f ca="1">IFERROR(__xludf.DUMMYFUNCTION("GOOGLETRANSLATE(B161, ""en"", ""pl"")"),"Opuszczać")</f>
        <v>Opuszczać</v>
      </c>
      <c r="J161" s="25" t="str">
        <f ca="1">IFERROR(__xludf.DUMMYFUNCTION("GOOGLETRANSLATE(B161, ""en"", ""zh"")"),"离开")</f>
        <v>离开</v>
      </c>
      <c r="K161" s="25" t="str">
        <f ca="1">IFERROR(__xludf.DUMMYFUNCTION("GOOGLETRANSLATE(B161, ""en"", ""vi"")"),"Rời bỏ")</f>
        <v>Rời bỏ</v>
      </c>
      <c r="L161" s="26" t="str">
        <f ca="1">IFERROR(__xludf.DUMMYFUNCTION("GOOGLETRANSLATE(B161, ""en"", ""hr"")"),"Napustiti")</f>
        <v>Napustiti</v>
      </c>
      <c r="M161" s="28"/>
      <c r="N161" s="28"/>
      <c r="O161" s="28"/>
      <c r="P161" s="28"/>
      <c r="Q161" s="28"/>
      <c r="R161" s="28"/>
      <c r="S161" s="28"/>
      <c r="T161" s="28"/>
      <c r="U161" s="28"/>
      <c r="V161" s="28"/>
      <c r="W161" s="28"/>
      <c r="X161" s="28"/>
      <c r="Y161" s="28"/>
      <c r="Z161" s="28"/>
      <c r="AA161" s="28"/>
      <c r="AB161" s="28"/>
    </row>
    <row r="162" spans="1:28" ht="14" x14ac:dyDescent="0.15">
      <c r="A162" s="21" t="s">
        <v>320</v>
      </c>
      <c r="B162" s="22" t="s">
        <v>320</v>
      </c>
      <c r="C162" s="23" t="str">
        <f ca="1">IFERROR(__xludf.DUMMYFUNCTION("GOOGLETRANSLATE(B162, ""en"", ""fr"")"),"Début")</f>
        <v>Début</v>
      </c>
      <c r="D162" s="23" t="str">
        <f ca="1">IFERROR(__xludf.DUMMYFUNCTION("GOOGLETRANSLATE(B162, ""en"", ""es"")"),"Comienzo")</f>
        <v>Comienzo</v>
      </c>
      <c r="E162" s="23" t="str">
        <f ca="1">IFERROR(__xludf.DUMMYFUNCTION("GOOGLETRANSLATE(B162, ""en"", ""ru"")"),"Начинать")</f>
        <v>Начинать</v>
      </c>
      <c r="F162" s="23" t="str">
        <f ca="1">IFERROR(__xludf.DUMMYFUNCTION("GOOGLETRANSLATE(B162, ""en"", ""tr"")"),"Başlangıç")</f>
        <v>Başlangıç</v>
      </c>
      <c r="G162" s="23" t="str">
        <f ca="1">IFERROR(__xludf.DUMMYFUNCTION("GOOGLETRANSLATE(B162, ""en"", ""pt"")"),"Começar")</f>
        <v>Começar</v>
      </c>
      <c r="H162" s="24" t="str">
        <f ca="1">IFERROR(__xludf.DUMMYFUNCTION("GOOGLETRANSLATE(B162, ""en"", ""de"")"),"Start")</f>
        <v>Start</v>
      </c>
      <c r="I162" s="23" t="str">
        <f ca="1">IFERROR(__xludf.DUMMYFUNCTION("GOOGLETRANSLATE(B162, ""en"", ""pl"")"),"Początek")</f>
        <v>Początek</v>
      </c>
      <c r="J162" s="25" t="str">
        <f ca="1">IFERROR(__xludf.DUMMYFUNCTION("GOOGLETRANSLATE(B162, ""en"", ""zh"")"),"开始")</f>
        <v>开始</v>
      </c>
      <c r="K162" s="25" t="str">
        <f ca="1">IFERROR(__xludf.DUMMYFUNCTION("GOOGLETRANSLATE(B162, ""en"", ""vi"")"),"Bắt đầu")</f>
        <v>Bắt đầu</v>
      </c>
      <c r="L162" s="26" t="str">
        <f ca="1">IFERROR(__xludf.DUMMYFUNCTION("GOOGLETRANSLATE(B162, ""en"", ""hr"")"),"Početak")</f>
        <v>Početak</v>
      </c>
      <c r="M162" s="28"/>
      <c r="N162" s="28"/>
      <c r="O162" s="28"/>
      <c r="P162" s="28"/>
      <c r="Q162" s="28"/>
      <c r="R162" s="28"/>
      <c r="S162" s="28"/>
      <c r="T162" s="28"/>
      <c r="U162" s="28"/>
      <c r="V162" s="28"/>
      <c r="W162" s="28"/>
      <c r="X162" s="28"/>
      <c r="Y162" s="28"/>
      <c r="Z162" s="28"/>
      <c r="AA162" s="28"/>
      <c r="AB162" s="28"/>
    </row>
    <row r="163" spans="1:28" ht="14" x14ac:dyDescent="0.15">
      <c r="A163" s="21" t="s">
        <v>321</v>
      </c>
      <c r="B163" s="22" t="s">
        <v>321</v>
      </c>
      <c r="C163" s="23" t="str">
        <f ca="1">IFERROR(__xludf.DUMMYFUNCTION("GOOGLETRANSLATE(B163, ""en"", ""fr"")"),"Annuler")</f>
        <v>Annuler</v>
      </c>
      <c r="D163" s="23" t="str">
        <f ca="1">IFERROR(__xludf.DUMMYFUNCTION("GOOGLETRANSLATE(B163, ""en"", ""es"")"),"Cancelar")</f>
        <v>Cancelar</v>
      </c>
      <c r="E163" s="23" t="str">
        <f ca="1">IFERROR(__xludf.DUMMYFUNCTION("GOOGLETRANSLATE(B163, ""en"", ""ru"")"),"Отмена")</f>
        <v>Отмена</v>
      </c>
      <c r="F163" s="23" t="str">
        <f ca="1">IFERROR(__xludf.DUMMYFUNCTION("GOOGLETRANSLATE(B163, ""en"", ""tr"")"),"İptal")</f>
        <v>İptal</v>
      </c>
      <c r="G163" s="23" t="str">
        <f ca="1">IFERROR(__xludf.DUMMYFUNCTION("GOOGLETRANSLATE(B163, ""en"", ""pt"")"),"Cancelar")</f>
        <v>Cancelar</v>
      </c>
      <c r="H163" s="24" t="str">
        <f ca="1">IFERROR(__xludf.DUMMYFUNCTION("GOOGLETRANSLATE(B163, ""en"", ""de"")"),"Abbrechen")</f>
        <v>Abbrechen</v>
      </c>
      <c r="I163" s="23" t="str">
        <f ca="1">IFERROR(__xludf.DUMMYFUNCTION("GOOGLETRANSLATE(B163, ""en"", ""pl"")"),"Anulować")</f>
        <v>Anulować</v>
      </c>
      <c r="J163" s="25" t="str">
        <f ca="1">IFERROR(__xludf.DUMMYFUNCTION("GOOGLETRANSLATE(B163, ""en"", ""zh"")"),"取消")</f>
        <v>取消</v>
      </c>
      <c r="K163" s="25" t="str">
        <f ca="1">IFERROR(__xludf.DUMMYFUNCTION("GOOGLETRANSLATE(B163, ""en"", ""vi"")"),"Hủy bỏ")</f>
        <v>Hủy bỏ</v>
      </c>
      <c r="L163" s="26" t="str">
        <f ca="1">IFERROR(__xludf.DUMMYFUNCTION("GOOGLETRANSLATE(B163, ""en"", ""hr"")"),"Otkazati")</f>
        <v>Otkazati</v>
      </c>
      <c r="M163" s="28"/>
      <c r="N163" s="28"/>
      <c r="O163" s="28"/>
      <c r="P163" s="28"/>
      <c r="Q163" s="28"/>
      <c r="R163" s="28"/>
      <c r="S163" s="28"/>
      <c r="T163" s="28"/>
      <c r="U163" s="28"/>
      <c r="V163" s="28"/>
      <c r="W163" s="28"/>
      <c r="X163" s="28"/>
      <c r="Y163" s="28"/>
      <c r="Z163" s="28"/>
      <c r="AA163" s="28"/>
      <c r="AB163" s="28"/>
    </row>
    <row r="164" spans="1:28" ht="14" x14ac:dyDescent="0.15">
      <c r="A164" s="21" t="s">
        <v>322</v>
      </c>
      <c r="B164" s="22" t="s">
        <v>322</v>
      </c>
      <c r="C164" s="23" t="str">
        <f ca="1">IFERROR(__xludf.DUMMYFUNCTION("GOOGLETRANSLATE(B164, ""en"", ""fr"")"),"Fête")</f>
        <v>Fête</v>
      </c>
      <c r="D164" s="23" t="str">
        <f ca="1">IFERROR(__xludf.DUMMYFUNCTION("GOOGLETRANSLATE(B164, ""en"", ""es"")"),"Partido")</f>
        <v>Partido</v>
      </c>
      <c r="E164" s="23" t="str">
        <f ca="1">IFERROR(__xludf.DUMMYFUNCTION("GOOGLETRANSLATE(B164, ""en"", ""ru"")"),"Вечеринка")</f>
        <v>Вечеринка</v>
      </c>
      <c r="F164" s="23" t="str">
        <f ca="1">IFERROR(__xludf.DUMMYFUNCTION("GOOGLETRANSLATE(B164, ""en"", ""tr"")"),"Parti")</f>
        <v>Parti</v>
      </c>
      <c r="G164" s="23" t="str">
        <f ca="1">IFERROR(__xludf.DUMMYFUNCTION("GOOGLETRANSLATE(B164, ""en"", ""pt"")"),"Festa")</f>
        <v>Festa</v>
      </c>
      <c r="H164" s="24" t="str">
        <f ca="1">IFERROR(__xludf.DUMMYFUNCTION("GOOGLETRANSLATE(B164, ""en"", ""de"")"),"Party")</f>
        <v>Party</v>
      </c>
      <c r="I164" s="23" t="str">
        <f ca="1">IFERROR(__xludf.DUMMYFUNCTION("GOOGLETRANSLATE(B164, ""en"", ""pl"")"),"Impreza")</f>
        <v>Impreza</v>
      </c>
      <c r="J164" s="25" t="str">
        <f ca="1">IFERROR(__xludf.DUMMYFUNCTION("GOOGLETRANSLATE(B164, ""en"", ""zh"")"),"聚会")</f>
        <v>聚会</v>
      </c>
      <c r="K164" s="25" t="str">
        <f ca="1">IFERROR(__xludf.DUMMYFUNCTION("GOOGLETRANSLATE(B164, ""en"", ""vi"")"),"Buổi tiệc")</f>
        <v>Buổi tiệc</v>
      </c>
      <c r="L164" s="26" t="str">
        <f ca="1">IFERROR(__xludf.DUMMYFUNCTION("GOOGLETRANSLATE(B164, ""en"", ""hr"")"),"Zabava")</f>
        <v>Zabava</v>
      </c>
      <c r="M164" s="28"/>
      <c r="N164" s="28"/>
      <c r="O164" s="28"/>
      <c r="P164" s="28"/>
      <c r="Q164" s="28"/>
      <c r="R164" s="28"/>
      <c r="S164" s="28"/>
      <c r="T164" s="28"/>
      <c r="U164" s="28"/>
      <c r="V164" s="28"/>
      <c r="W164" s="28"/>
      <c r="X164" s="28"/>
      <c r="Y164" s="28"/>
      <c r="Z164" s="28"/>
      <c r="AA164" s="28"/>
      <c r="AB164" s="28"/>
    </row>
    <row r="165" spans="1:28" ht="14" x14ac:dyDescent="0.15">
      <c r="A165" s="21" t="s">
        <v>323</v>
      </c>
      <c r="B165" s="22" t="s">
        <v>323</v>
      </c>
      <c r="C165" s="23" t="str">
        <f ca="1">IFERROR(__xludf.DUMMYFUNCTION("GOOGLETRANSLATE(B165, ""en"", ""fr"")"),"Des soirées")</f>
        <v>Des soirées</v>
      </c>
      <c r="D165" s="23" t="str">
        <f ca="1">IFERROR(__xludf.DUMMYFUNCTION("GOOGLETRANSLATE(B165, ""en"", ""es"")"),"Fiestas")</f>
        <v>Fiestas</v>
      </c>
      <c r="E165" s="23" t="str">
        <f ca="1">IFERROR(__xludf.DUMMYFUNCTION("GOOGLETRANSLATE(B165, ""en"", ""ru"")"),"Стороны")</f>
        <v>Стороны</v>
      </c>
      <c r="F165" s="23" t="str">
        <f ca="1">IFERROR(__xludf.DUMMYFUNCTION("GOOGLETRANSLATE(B165, ""en"", ""tr"")"),"Partiler")</f>
        <v>Partiler</v>
      </c>
      <c r="G165" s="23" t="str">
        <f ca="1">IFERROR(__xludf.DUMMYFUNCTION("GOOGLETRANSLATE(B165, ""en"", ""pt"")"),"Festas")</f>
        <v>Festas</v>
      </c>
      <c r="H165" s="24" t="str">
        <f ca="1">IFERROR(__xludf.DUMMYFUNCTION("GOOGLETRANSLATE(B165, ""en"", ""de"")"),"Partys")</f>
        <v>Partys</v>
      </c>
      <c r="I165" s="23" t="str">
        <f ca="1">IFERROR(__xludf.DUMMYFUNCTION("GOOGLETRANSLATE(B165, ""en"", ""pl"")"),"Imprezy")</f>
        <v>Imprezy</v>
      </c>
      <c r="J165" s="25" t="str">
        <f ca="1">IFERROR(__xludf.DUMMYFUNCTION("GOOGLETRANSLATE(B165, ""en"", ""zh"")"),"派对")</f>
        <v>派对</v>
      </c>
      <c r="K165" s="25" t="str">
        <f ca="1">IFERROR(__xludf.DUMMYFUNCTION("GOOGLETRANSLATE(B165, ""en"", ""vi"")"),"Bên")</f>
        <v>Bên</v>
      </c>
      <c r="L165" s="26" t="str">
        <f ca="1">IFERROR(__xludf.DUMMYFUNCTION("GOOGLETRANSLATE(B165, ""en"", ""hr"")"),"Stranke")</f>
        <v>Stranke</v>
      </c>
      <c r="M165" s="28"/>
      <c r="N165" s="28"/>
      <c r="O165" s="28"/>
      <c r="P165" s="28"/>
      <c r="Q165" s="28"/>
      <c r="R165" s="28"/>
      <c r="S165" s="28"/>
      <c r="T165" s="28"/>
      <c r="U165" s="28"/>
      <c r="V165" s="28"/>
      <c r="W165" s="28"/>
      <c r="X165" s="28"/>
      <c r="Y165" s="28"/>
      <c r="Z165" s="28"/>
      <c r="AA165" s="28"/>
      <c r="AB165" s="28"/>
    </row>
    <row r="166" spans="1:28" ht="14" x14ac:dyDescent="0.15">
      <c r="A166" s="21" t="s">
        <v>324</v>
      </c>
      <c r="B166" s="22" t="s">
        <v>315</v>
      </c>
      <c r="C166" s="23" t="str">
        <f ca="1">IFERROR(__xludf.DUMMYFUNCTION("GOOGLETRANSLATE(B166, ""en"", ""fr"")"),"Coût d'entrée")</f>
        <v>Coût d'entrée</v>
      </c>
      <c r="D166" s="23" t="str">
        <f ca="1">IFERROR(__xludf.DUMMYFUNCTION("GOOGLETRANSLATE(B166, ""en"", ""es"")"),"Costo de entrada")</f>
        <v>Costo de entrada</v>
      </c>
      <c r="E166" s="23" t="str">
        <f ca="1">IFERROR(__xludf.DUMMYFUNCTION("GOOGLETRANSLATE(B166, ""en"", ""ru"")"),"Стоимость входа")</f>
        <v>Стоимость входа</v>
      </c>
      <c r="F166" s="23" t="str">
        <f ca="1">IFERROR(__xludf.DUMMYFUNCTION("GOOGLETRANSLATE(B166, ""en"", ""tr"")"),"Giriş maliyeti")</f>
        <v>Giriş maliyeti</v>
      </c>
      <c r="G166" s="23" t="str">
        <f ca="1">IFERROR(__xludf.DUMMYFUNCTION("GOOGLETRANSLATE(B166, ""en"", ""pt"")"),"Custo de entrada")</f>
        <v>Custo de entrada</v>
      </c>
      <c r="H166" s="24" t="str">
        <f ca="1">IFERROR(__xludf.DUMMYFUNCTION("GOOGLETRANSLATE(B166, ""en"", ""de"")"),"Eintrittskosten")</f>
        <v>Eintrittskosten</v>
      </c>
      <c r="I166" s="23" t="str">
        <f ca="1">IFERROR(__xludf.DUMMYFUNCTION("GOOGLETRANSLATE(B166, ""en"", ""pl"")"),"Koszt wejścia.")</f>
        <v>Koszt wejścia.</v>
      </c>
      <c r="J166" s="25" t="str">
        <f ca="1">IFERROR(__xludf.DUMMYFUNCTION("GOOGLETRANSLATE(B166, ""en"", ""zh"")"),"入场费")</f>
        <v>入场费</v>
      </c>
      <c r="K166" s="25" t="str">
        <f ca="1">IFERROR(__xludf.DUMMYFUNCTION("GOOGLETRANSLATE(B166, ""en"", ""vi"")"),"Chi phí nhập cảnh")</f>
        <v>Chi phí nhập cảnh</v>
      </c>
      <c r="L166" s="26" t="str">
        <f ca="1">IFERROR(__xludf.DUMMYFUNCTION("GOOGLETRANSLATE(B166, ""en"", ""hr"")"),"Trošak ulaska")</f>
        <v>Trošak ulaska</v>
      </c>
      <c r="M166" s="28"/>
      <c r="N166" s="28"/>
      <c r="O166" s="28"/>
      <c r="P166" s="28"/>
      <c r="Q166" s="28"/>
      <c r="R166" s="28"/>
      <c r="S166" s="28"/>
      <c r="T166" s="28"/>
      <c r="U166" s="28"/>
      <c r="V166" s="28"/>
      <c r="W166" s="28"/>
      <c r="X166" s="28"/>
      <c r="Y166" s="28"/>
      <c r="Z166" s="28"/>
      <c r="AA166" s="28"/>
      <c r="AB166" s="28"/>
    </row>
    <row r="167" spans="1:28" ht="14" x14ac:dyDescent="0.15">
      <c r="A167" s="21" t="s">
        <v>325</v>
      </c>
      <c r="B167" s="22" t="s">
        <v>325</v>
      </c>
      <c r="C167" s="23" t="s">
        <v>326</v>
      </c>
      <c r="D167" s="23" t="str">
        <f ca="1">IFERROR(__xludf.DUMMYFUNCTION("GOOGLETRANSLATE(B167, ""en"", ""es"")"),"Tiempo restante")</f>
        <v>Tiempo restante</v>
      </c>
      <c r="E167" s="23" t="str">
        <f ca="1">IFERROR(__xludf.DUMMYFUNCTION("GOOGLETRANSLATE(B167, ""en"", ""ru"")"),"Времени осталось")</f>
        <v>Времени осталось</v>
      </c>
      <c r="F167" s="23" t="str">
        <f ca="1">IFERROR(__xludf.DUMMYFUNCTION("GOOGLETRANSLATE(B167, ""en"", ""tr"")"),"Kalan süre")</f>
        <v>Kalan süre</v>
      </c>
      <c r="G167" s="23" t="str">
        <f ca="1">IFERROR(__xludf.DUMMYFUNCTION("GOOGLETRANSLATE(B167, ""en"", ""pt"")"),"Tempo restante")</f>
        <v>Tempo restante</v>
      </c>
      <c r="H167" s="24" t="str">
        <f ca="1">IFERROR(__xludf.DUMMYFUNCTION("GOOGLETRANSLATE(B167, ""en"", ""de"")"),"Die verbleibende Zeit.")</f>
        <v>Die verbleibende Zeit.</v>
      </c>
      <c r="I167" s="23" t="str">
        <f ca="1">IFERROR(__xludf.DUMMYFUNCTION("GOOGLETRANSLATE(B167, ""en"", ""pl"")"),"Pozostały czas")</f>
        <v>Pozostały czas</v>
      </c>
      <c r="J167" s="25" t="str">
        <f ca="1">IFERROR(__xludf.DUMMYFUNCTION("GOOGLETRANSLATE(B167, ""en"", ""zh"")"),"剩余时间")</f>
        <v>剩余时间</v>
      </c>
      <c r="K167" s="25" t="str">
        <f ca="1">IFERROR(__xludf.DUMMYFUNCTION("GOOGLETRANSLATE(B167, ""en"", ""vi"")"),"Thời gian còn lại")</f>
        <v>Thời gian còn lại</v>
      </c>
      <c r="L167" s="26" t="str">
        <f ca="1">IFERROR(__xludf.DUMMYFUNCTION("GOOGLETRANSLATE(B167, ""en"", ""hr"")"),"Preostalo vrijeme")</f>
        <v>Preostalo vrijeme</v>
      </c>
      <c r="M167" s="28"/>
      <c r="N167" s="28"/>
      <c r="O167" s="28"/>
      <c r="P167" s="28"/>
      <c r="Q167" s="28"/>
      <c r="R167" s="28"/>
      <c r="S167" s="28"/>
      <c r="T167" s="28"/>
      <c r="U167" s="28"/>
      <c r="V167" s="28"/>
      <c r="W167" s="28"/>
      <c r="X167" s="28"/>
      <c r="Y167" s="28"/>
      <c r="Z167" s="28"/>
      <c r="AA167" s="28"/>
      <c r="AB167" s="28"/>
    </row>
    <row r="168" spans="1:28" ht="28" x14ac:dyDescent="0.15">
      <c r="A168" s="21" t="s">
        <v>327</v>
      </c>
      <c r="B168" s="22" t="s">
        <v>328</v>
      </c>
      <c r="C168" s="23" t="str">
        <f ca="1">IFERROR(__xludf.DUMMYFUNCTION("GOOGLETRANSLATE(B168, ""en"", ""fr"")"),"Égouts de ville")</f>
        <v>Égouts de ville</v>
      </c>
      <c r="D168" s="23" t="str">
        <f ca="1">IFERROR(__xludf.DUMMYFUNCTION("GOOGLETRANSLATE(B168, ""en"", ""es"")"),"Alcantarillas de la ciudad")</f>
        <v>Alcantarillas de la ciudad</v>
      </c>
      <c r="E168" s="23" t="str">
        <f ca="1">IFERROR(__xludf.DUMMYFUNCTION("GOOGLETRANSLATE(B168, ""en"", ""ru"")"),"Городские канализации")</f>
        <v>Городские канализации</v>
      </c>
      <c r="F168" s="23" t="str">
        <f ca="1">IFERROR(__xludf.DUMMYFUNCTION("GOOGLETRANSLATE(B168, ""en"", ""tr"")"),"Şehir kanalizasyonları")</f>
        <v>Şehir kanalizasyonları</v>
      </c>
      <c r="G168" s="23" t="str">
        <f ca="1">IFERROR(__xludf.DUMMYFUNCTION("GOOGLETRANSLATE(B168, ""en"", ""pt"")"),"Esgotos da cidade")</f>
        <v>Esgotos da cidade</v>
      </c>
      <c r="H168" s="24" t="str">
        <f ca="1">IFERROR(__xludf.DUMMYFUNCTION("GOOGLETRANSLATE(B168, ""en"", ""de"")"),"Stadtabwasserkanal")</f>
        <v>Stadtabwasserkanal</v>
      </c>
      <c r="I168" s="23" t="str">
        <f ca="1">IFERROR(__xludf.DUMMYFUNCTION("GOOGLETRANSLATE(B168, ""en"", ""pl"")"),"City Sewers.")</f>
        <v>City Sewers.</v>
      </c>
      <c r="J168" s="25" t="str">
        <f ca="1">IFERROR(__xludf.DUMMYFUNCTION("GOOGLETRANSLATE(B168, ""en"", ""zh"")"),"城市下水道")</f>
        <v>城市下水道</v>
      </c>
      <c r="K168" s="25" t="str">
        <f ca="1">IFERROR(__xludf.DUMMYFUNCTION("GOOGLETRANSLATE(B168, ""en"", ""vi"")"),"Cống thành phố")</f>
        <v>Cống thành phố</v>
      </c>
      <c r="L168" s="26" t="str">
        <f ca="1">IFERROR(__xludf.DUMMYFUNCTION("GOOGLETRANSLATE(B168, ""en"", ""hr"")"),"Gradska kanali")</f>
        <v>Gradska kanali</v>
      </c>
      <c r="M168" s="28"/>
      <c r="N168" s="28"/>
      <c r="O168" s="28"/>
      <c r="P168" s="28"/>
      <c r="Q168" s="28"/>
      <c r="R168" s="28"/>
      <c r="S168" s="28"/>
      <c r="T168" s="28"/>
      <c r="U168" s="28"/>
      <c r="V168" s="28"/>
      <c r="W168" s="28"/>
      <c r="X168" s="28"/>
      <c r="Y168" s="28"/>
      <c r="Z168" s="28"/>
      <c r="AA168" s="28"/>
      <c r="AB168" s="28"/>
    </row>
    <row r="169" spans="1:28" ht="42" x14ac:dyDescent="0.15">
      <c r="A169" s="21" t="s">
        <v>329</v>
      </c>
      <c r="B169" s="22" t="s">
        <v>330</v>
      </c>
      <c r="C169" s="23" t="s">
        <v>331</v>
      </c>
      <c r="D169" s="23" t="str">
        <f ca="1">IFERROR(__xludf.DUMMYFUNCTION("GOOGLETRANSLATE(B169, ""en"", ""es"")"),"Arena de entrenamiento de caballero")</f>
        <v>Arena de entrenamiento de caballero</v>
      </c>
      <c r="E169" s="23" t="str">
        <f ca="1">IFERROR(__xludf.DUMMYFUNCTION("GOOGLETRANSLATE(B169, ""en"", ""ru"")"),"Учебная арена рыцаря")</f>
        <v>Учебная арена рыцаря</v>
      </c>
      <c r="F169" s="23" t="str">
        <f ca="1">IFERROR(__xludf.DUMMYFUNCTION("GOOGLETRANSLATE(B169, ""en"", ""tr"")"),"Knight Eğitim Arenası")</f>
        <v>Knight Eğitim Arenası</v>
      </c>
      <c r="G169" s="23" t="str">
        <f ca="1">IFERROR(__xludf.DUMMYFUNCTION("GOOGLETRANSLATE(B169, ""en"", ""pt"")"),"Arena de treinamento Knight.")</f>
        <v>Arena de treinamento Knight.</v>
      </c>
      <c r="H169" s="24" t="str">
        <f ca="1">IFERROR(__xludf.DUMMYFUNCTION("GOOGLETRANSLATE(B169, ""en"", ""de"")"),"Rittertraining Arena.")</f>
        <v>Rittertraining Arena.</v>
      </c>
      <c r="I169" s="23" t="str">
        <f ca="1">IFERROR(__xludf.DUMMYFUNCTION("GOOGLETRANSLATE(B169, ""en"", ""pl"")"),"Arena Knight Training.")</f>
        <v>Arena Knight Training.</v>
      </c>
      <c r="J169" s="25" t="str">
        <f ca="1">IFERROR(__xludf.DUMMYFUNCTION("GOOGLETRANSLATE(B169, ""en"", ""zh"")"),"骑士训练竞技场")</f>
        <v>骑士训练竞技场</v>
      </c>
      <c r="K169" s="25" t="str">
        <f ca="1">IFERROR(__xludf.DUMMYFUNCTION("GOOGLETRANSLATE(B169, ""en"", ""vi"")"),"Đào tạo Hiệp sĩ")</f>
        <v>Đào tạo Hiệp sĩ</v>
      </c>
      <c r="L169" s="26" t="str">
        <f ca="1">IFERROR(__xludf.DUMMYFUNCTION("GOOGLETRANSLATE(B169, ""en"", ""hr"")"),"Vitez trening arena")</f>
        <v>Vitez trening arena</v>
      </c>
      <c r="M169" s="28"/>
      <c r="N169" s="28"/>
      <c r="O169" s="28"/>
      <c r="P169" s="28"/>
      <c r="Q169" s="28"/>
      <c r="R169" s="28"/>
      <c r="S169" s="28"/>
      <c r="T169" s="28"/>
      <c r="U169" s="28"/>
      <c r="V169" s="28"/>
      <c r="W169" s="28"/>
      <c r="X169" s="28"/>
      <c r="Y169" s="28"/>
      <c r="Z169" s="28"/>
      <c r="AA169" s="28"/>
      <c r="AB169" s="28"/>
    </row>
    <row r="170" spans="1:28" ht="28" x14ac:dyDescent="0.15">
      <c r="A170" s="21" t="s">
        <v>332</v>
      </c>
      <c r="B170" s="22" t="s">
        <v>333</v>
      </c>
      <c r="C170" s="23" t="str">
        <f ca="1">IFERROR(__xludf.DUMMYFUNCTION("GOOGLETRANSLATE(B170, ""en"", ""fr"")"),"Cachette de bandit")</f>
        <v>Cachette de bandit</v>
      </c>
      <c r="D170" s="23" t="str">
        <f ca="1">IFERROR(__xludf.DUMMYFUNCTION("GOOGLETRANSLATE(B170, ""en"", ""es"")"),"Escondite del bandido")</f>
        <v>Escondite del bandido</v>
      </c>
      <c r="E170" s="23" t="str">
        <f ca="1">IFERROR(__xludf.DUMMYFUNCTION("GOOGLETRANSLATE(B170, ""en"", ""ru"")"),"Бандитное укрытие")</f>
        <v>Бандитное укрытие</v>
      </c>
      <c r="F170" s="23" t="str">
        <f ca="1">IFERROR(__xludf.DUMMYFUNCTION("GOOGLETRANSLATE(B170, ""en"", ""tr"")"),"Haydut hideout")</f>
        <v>Haydut hideout</v>
      </c>
      <c r="G170" s="23" t="str">
        <f ca="1">IFERROR(__xludf.DUMMYFUNCTION("GOOGLETRANSLATE(B170, ""en"", ""pt"")"),"Esconderijo Bandit")</f>
        <v>Esconderijo Bandit</v>
      </c>
      <c r="H170" s="24" t="str">
        <f ca="1">IFERROR(__xludf.DUMMYFUNCTION("GOOGLETRANSLATE(B170, ""en"", ""de"")"),"Bandit-Versteck")</f>
        <v>Bandit-Versteck</v>
      </c>
      <c r="I170" s="23" t="str">
        <f ca="1">IFERROR(__xludf.DUMMYFUNCTION("GOOGLETRANSLATE(B170, ""en"", ""pl"")"),"Bandit HideoOut.")</f>
        <v>Bandit HideoOut.</v>
      </c>
      <c r="J170" s="25" t="str">
        <f ca="1">IFERROR(__xludf.DUMMYFUNCTION("GOOGLETRANSLATE(B170, ""en"", ""zh"")"),"强盗藏着")</f>
        <v>强盗藏着</v>
      </c>
      <c r="K170" s="25" t="str">
        <f ca="1">IFERROR(__xludf.DUMMYFUNCTION("GOOGLETRANSLATE(B170, ""en"", ""vi"")"),"Nơi ẩn náu của tên cướp")</f>
        <v>Nơi ẩn náu của tên cướp</v>
      </c>
      <c r="L170" s="26" t="str">
        <f ca="1">IFERROR(__xludf.DUMMYFUNCTION("GOOGLETRANSLATE(B170, ""en"", ""hr"")"),"Bandit skrovište")</f>
        <v>Bandit skrovište</v>
      </c>
      <c r="M170" s="28"/>
      <c r="N170" s="28"/>
      <c r="O170" s="28"/>
      <c r="P170" s="28"/>
      <c r="Q170" s="28"/>
      <c r="R170" s="28"/>
      <c r="S170" s="28"/>
      <c r="T170" s="28"/>
      <c r="U170" s="28"/>
      <c r="V170" s="28"/>
      <c r="W170" s="28"/>
      <c r="X170" s="28"/>
      <c r="Y170" s="28"/>
      <c r="Z170" s="28"/>
      <c r="AA170" s="28"/>
      <c r="AB170" s="28"/>
    </row>
    <row r="171" spans="1:28" ht="14" x14ac:dyDescent="0.15">
      <c r="A171" s="21" t="s">
        <v>334</v>
      </c>
      <c r="B171" s="22" t="s">
        <v>335</v>
      </c>
      <c r="C171" s="23" t="str">
        <f ca="1">IFERROR(__xludf.DUMMYFUNCTION("GOOGLETRANSLATE(B171, ""en"", ""fr"")"),"Pyramide occidentale")</f>
        <v>Pyramide occidentale</v>
      </c>
      <c r="D171" s="23" t="str">
        <f ca="1">IFERROR(__xludf.DUMMYFUNCTION("GOOGLETRANSLATE(B171, ""en"", ""es"")"),"Pirámide del oeste")</f>
        <v>Pirámide del oeste</v>
      </c>
      <c r="E171" s="23" t="str">
        <f ca="1">IFERROR(__xludf.DUMMYFUNCTION("GOOGLETRANSLATE(B171, ""en"", ""ru"")"),"Западная пирамида")</f>
        <v>Западная пирамида</v>
      </c>
      <c r="F171" s="23" t="str">
        <f ca="1">IFERROR(__xludf.DUMMYFUNCTION("GOOGLETRANSLATE(B171, ""en"", ""tr"")"),"Batı piramidi")</f>
        <v>Batı piramidi</v>
      </c>
      <c r="G171" s="23" t="str">
        <f ca="1">IFERROR(__xludf.DUMMYFUNCTION("GOOGLETRANSLATE(B171, ""en"", ""pt"")"),"Pirâmide Ocidental.")</f>
        <v>Pirâmide Ocidental.</v>
      </c>
      <c r="H171" s="24" t="str">
        <f ca="1">IFERROR(__xludf.DUMMYFUNCTION("GOOGLETRANSLATE(B171, ""en"", ""de"")"),"Westpyramide")</f>
        <v>Westpyramide</v>
      </c>
      <c r="I171" s="23" t="str">
        <f ca="1">IFERROR(__xludf.DUMMYFUNCTION("GOOGLETRANSLATE(B171, ""en"", ""pl"")"),"Piramida Zachodnia.")</f>
        <v>Piramida Zachodnia.</v>
      </c>
      <c r="J171" s="25" t="str">
        <f ca="1">IFERROR(__xludf.DUMMYFUNCTION("GOOGLETRANSLATE(B171, ""en"", ""zh"")"),"西金字塔")</f>
        <v>西金字塔</v>
      </c>
      <c r="K171" s="25" t="str">
        <f ca="1">IFERROR(__xludf.DUMMYFUNCTION("GOOGLETRANSLATE(B171, ""en"", ""vi"")"),"Kim tự tháp phía tây")</f>
        <v>Kim tự tháp phía tây</v>
      </c>
      <c r="L171" s="26" t="str">
        <f ca="1">IFERROR(__xludf.DUMMYFUNCTION("GOOGLETRANSLATE(B171, ""en"", ""hr"")"),"Zapadna piramida")</f>
        <v>Zapadna piramida</v>
      </c>
      <c r="M171" s="28"/>
      <c r="N171" s="28"/>
      <c r="O171" s="28"/>
      <c r="P171" s="28"/>
      <c r="Q171" s="28"/>
      <c r="R171" s="28"/>
      <c r="S171" s="28"/>
      <c r="T171" s="28"/>
      <c r="U171" s="28"/>
      <c r="V171" s="28"/>
      <c r="W171" s="28"/>
      <c r="X171" s="28"/>
      <c r="Y171" s="28"/>
      <c r="Z171" s="28"/>
      <c r="AA171" s="28"/>
      <c r="AB171" s="28"/>
    </row>
    <row r="172" spans="1:28" ht="14" x14ac:dyDescent="0.15">
      <c r="A172" s="21" t="s">
        <v>336</v>
      </c>
      <c r="B172" s="22" t="s">
        <v>337</v>
      </c>
      <c r="C172" s="23" t="str">
        <f ca="1">IFERROR(__xludf.DUMMYFUNCTION("GOOGLETRANSLATE(B172, ""en"", ""fr"")"),"Pyramide orientale")</f>
        <v>Pyramide orientale</v>
      </c>
      <c r="D172" s="23" t="str">
        <f ca="1">IFERROR(__xludf.DUMMYFUNCTION("GOOGLETRANSLATE(B172, ""en"", ""es"")"),"Pirámide oriental")</f>
        <v>Pirámide oriental</v>
      </c>
      <c r="E172" s="23" t="str">
        <f ca="1">IFERROR(__xludf.DUMMYFUNCTION("GOOGLETRANSLATE(B172, ""en"", ""ru"")"),"Восточная пирамида")</f>
        <v>Восточная пирамида</v>
      </c>
      <c r="F172" s="23" t="str">
        <f ca="1">IFERROR(__xludf.DUMMYFUNCTION("GOOGLETRANSLATE(B172, ""en"", ""tr"")"),"Doğu piramidi")</f>
        <v>Doğu piramidi</v>
      </c>
      <c r="G172" s="23" t="str">
        <f ca="1">IFERROR(__xludf.DUMMYFUNCTION("GOOGLETRANSLATE(B172, ""en"", ""pt"")"),"Pirâmide leste")</f>
        <v>Pirâmide leste</v>
      </c>
      <c r="H172" s="24" t="str">
        <f ca="1">IFERROR(__xludf.DUMMYFUNCTION("GOOGLETRANSLATE(B172, ""en"", ""de"")"),"East Pyramide")</f>
        <v>East Pyramide</v>
      </c>
      <c r="I172" s="23" t="str">
        <f ca="1">IFERROR(__xludf.DUMMYFUNCTION("GOOGLETRANSLATE(B172, ""en"", ""pl"")"),"East Pyramid.")</f>
        <v>East Pyramid.</v>
      </c>
      <c r="J172" s="25" t="str">
        <f ca="1">IFERROR(__xludf.DUMMYFUNCTION("GOOGLETRANSLATE(B172, ""en"", ""zh"")"),"东金字塔")</f>
        <v>东金字塔</v>
      </c>
      <c r="K172" s="25" t="str">
        <f ca="1">IFERROR(__xludf.DUMMYFUNCTION("GOOGLETRANSLATE(B172, ""en"", ""vi"")"),"Kim tự tháp Đông")</f>
        <v>Kim tự tháp Đông</v>
      </c>
      <c r="L172" s="26" t="str">
        <f ca="1">IFERROR(__xludf.DUMMYFUNCTION("GOOGLETRANSLATE(B172, ""en"", ""hr"")"),"Istočna piramida")</f>
        <v>Istočna piramida</v>
      </c>
      <c r="M172" s="28"/>
      <c r="N172" s="28"/>
      <c r="O172" s="28"/>
      <c r="P172" s="28"/>
      <c r="Q172" s="28"/>
      <c r="R172" s="28"/>
      <c r="S172" s="28"/>
      <c r="T172" s="28"/>
      <c r="U172" s="28"/>
      <c r="V172" s="28"/>
      <c r="W172" s="28"/>
      <c r="X172" s="28"/>
      <c r="Y172" s="28"/>
      <c r="Z172" s="28"/>
      <c r="AA172" s="28"/>
      <c r="AB172" s="28"/>
    </row>
    <row r="173" spans="1:28" ht="14" x14ac:dyDescent="0.15">
      <c r="A173" s="21" t="s">
        <v>338</v>
      </c>
      <c r="B173" s="22" t="s">
        <v>339</v>
      </c>
      <c r="C173" s="23" t="str">
        <f ca="1">IFERROR(__xludf.DUMMYFUNCTION("GOOGLETRANSLATE(B173, ""en"", ""fr"")"),"Halls de sang")</f>
        <v>Halls de sang</v>
      </c>
      <c r="D173" s="23" t="str">
        <f ca="1">IFERROR(__xludf.DUMMYFUNCTION("GOOGLETRANSLATE(B173, ""en"", ""es"")"),"Pabellones de sangre")</f>
        <v>Pabellones de sangre</v>
      </c>
      <c r="E173" s="23" t="str">
        <f ca="1">IFERROR(__xludf.DUMMYFUNCTION("GOOGLETRANSLATE(B173, ""en"", ""ru"")"),"Кровные залы")</f>
        <v>Кровные залы</v>
      </c>
      <c r="F173" s="23" t="str">
        <f ca="1">IFERROR(__xludf.DUMMYFUNCTION("GOOGLETRANSLATE(B173, ""en"", ""tr"")"),"Kan salonları")</f>
        <v>Kan salonları</v>
      </c>
      <c r="G173" s="23" t="str">
        <f ca="1">IFERROR(__xludf.DUMMYFUNCTION("GOOGLETRANSLATE(B173, ""en"", ""pt"")"),"Salões de sangue")</f>
        <v>Salões de sangue</v>
      </c>
      <c r="H173" s="24" t="str">
        <f ca="1">IFERROR(__xludf.DUMMYFUNCTION("GOOGLETRANSLATE(B173, ""en"", ""de"")"),"Blutsälen")</f>
        <v>Blutsälen</v>
      </c>
      <c r="I173" s="23" t="str">
        <f ca="1">IFERROR(__xludf.DUMMYFUNCTION("GOOGLETRANSLATE(B173, ""en"", ""pl"")"),"Hale krwi")</f>
        <v>Hale krwi</v>
      </c>
      <c r="J173" s="25" t="str">
        <f ca="1">IFERROR(__xludf.DUMMYFUNCTION("GOOGLETRANSLATE(B173, ""en"", ""zh"")"),"血厅")</f>
        <v>血厅</v>
      </c>
      <c r="K173" s="25" t="str">
        <f ca="1">IFERROR(__xludf.DUMMYFUNCTION("GOOGLETRANSLATE(B173, ""en"", ""vi"")"),"Hội trường máu")</f>
        <v>Hội trường máu</v>
      </c>
      <c r="L173" s="26" t="str">
        <f ca="1">IFERROR(__xludf.DUMMYFUNCTION("GOOGLETRANSLATE(B173, ""en"", ""hr"")"),"Krvne hale")</f>
        <v>Krvne hale</v>
      </c>
      <c r="M173" s="28"/>
      <c r="N173" s="28"/>
      <c r="O173" s="28"/>
      <c r="P173" s="28"/>
      <c r="Q173" s="28"/>
      <c r="R173" s="28"/>
      <c r="S173" s="28"/>
      <c r="T173" s="28"/>
      <c r="U173" s="28"/>
      <c r="V173" s="28"/>
      <c r="W173" s="28"/>
      <c r="X173" s="28"/>
      <c r="Y173" s="28"/>
      <c r="Z173" s="28"/>
      <c r="AA173" s="28"/>
      <c r="AB173" s="28"/>
    </row>
    <row r="174" spans="1:28" ht="14" x14ac:dyDescent="0.15">
      <c r="A174" s="21" t="s">
        <v>340</v>
      </c>
      <c r="B174" s="22" t="s">
        <v>341</v>
      </c>
      <c r="C174" s="23" t="s">
        <v>342</v>
      </c>
      <c r="D174" s="23" t="str">
        <f ca="1">IFERROR(__xludf.DUMMYFUNCTION("GOOGLETRANSLATE(B174, ""en"", ""es"")"),"Sombra dōjō")</f>
        <v>Sombra dōjō</v>
      </c>
      <c r="E174" s="23" t="str">
        <f ca="1">IFERROR(__xludf.DUMMYFUNCTION("GOOGLETRANSLATE(B174, ""en"", ""ru"")"),"Тень dōjō")</f>
        <v>Тень dōjō</v>
      </c>
      <c r="F174" s="23" t="str">
        <f ca="1">IFERROR(__xludf.DUMMYFUNCTION("GOOGLETRANSLATE(B174, ""en"", ""tr"")"),"Gölge dōjō")</f>
        <v>Gölge dōjō</v>
      </c>
      <c r="G174" s="23" t="str">
        <f ca="1">IFERROR(__xludf.DUMMYFUNCTION("GOOGLETRANSLATE(B174, ""en"", ""pt"")"),"Sombra dōjō.")</f>
        <v>Sombra dōjō.</v>
      </c>
      <c r="H174" s="24" t="str">
        <f ca="1">IFERROR(__xludf.DUMMYFUNCTION("GOOGLETRANSLATE(B174, ""en"", ""de"")"),"Schatten dōjō.")</f>
        <v>Schatten dōjō.</v>
      </c>
      <c r="I174" s="23" t="str">
        <f ca="1">IFERROR(__xludf.DUMMYFUNCTION("GOOGLETRANSLATE(B174, ""en"", ""pl"")"),"Cień Dōjō.")</f>
        <v>Cień Dōjō.</v>
      </c>
      <c r="J174" s="25" t="str">
        <f ca="1">IFERROR(__xludf.DUMMYFUNCTION("GOOGLETRANSLATE(B174, ""en"", ""zh"")"),"shadowdōjō.")</f>
        <v>shadowdōjō.</v>
      </c>
      <c r="K174" s="25" t="str">
        <f ca="1">IFERROR(__xludf.DUMMYFUNCTION("GOOGLETRANSLATE(B174, ""en"", ""vi"")"),"Shadow Dōjō.")</f>
        <v>Shadow Dōjō.</v>
      </c>
      <c r="L174" s="26" t="str">
        <f ca="1">IFERROR(__xludf.DUMMYFUNCTION("GOOGLETRANSLATE(B174, ""en"", ""hr"")"),"Sjena dōjō")</f>
        <v>Sjena dōjō</v>
      </c>
      <c r="M174" s="28"/>
      <c r="N174" s="28"/>
      <c r="O174" s="28"/>
      <c r="P174" s="28"/>
      <c r="Q174" s="28"/>
      <c r="R174" s="28"/>
      <c r="S174" s="28"/>
      <c r="T174" s="28"/>
      <c r="U174" s="28"/>
      <c r="V174" s="28"/>
      <c r="W174" s="28"/>
      <c r="X174" s="28"/>
      <c r="Y174" s="28"/>
      <c r="Z174" s="28"/>
      <c r="AA174" s="28"/>
      <c r="AB174" s="28"/>
    </row>
    <row r="175" spans="1:28" ht="14" x14ac:dyDescent="0.15">
      <c r="A175" s="21" t="s">
        <v>343</v>
      </c>
      <c r="B175" s="22" t="s">
        <v>344</v>
      </c>
      <c r="C175" s="23" t="str">
        <f ca="1">IFERROR(__xludf.DUMMYFUNCTION("GOOGLETRANSLATE(B175, ""en"", ""fr"")"),"Labyrinthe de la forêt")</f>
        <v>Labyrinthe de la forêt</v>
      </c>
      <c r="D175" s="23" t="str">
        <f ca="1">IFERROR(__xludf.DUMMYFUNCTION("GOOGLETRANSLATE(B175, ""en"", ""es"")"),"Laberinto del bosque")</f>
        <v>Laberinto del bosque</v>
      </c>
      <c r="E175" s="23" t="str">
        <f ca="1">IFERROR(__xludf.DUMMYFUNCTION("GOOGLETRANSLATE(B175, ""en"", ""ru"")"),"Лесной лабиринт")</f>
        <v>Лесной лабиринт</v>
      </c>
      <c r="F175" s="23" t="str">
        <f ca="1">IFERROR(__xludf.DUMMYFUNCTION("GOOGLETRANSLATE(B175, ""en"", ""tr"")"),"Orman labirent")</f>
        <v>Orman labirent</v>
      </c>
      <c r="G175" s="23" t="str">
        <f ca="1">IFERROR(__xludf.DUMMYFUNCTION("GOOGLETRANSLATE(B175, ""en"", ""pt"")"),"Labirinto da floresta")</f>
        <v>Labirinto da floresta</v>
      </c>
      <c r="H175" s="24" t="str">
        <f ca="1">IFERROR(__xludf.DUMMYFUNCTION("GOOGLETRANSLATE(B175, ""en"", ""de"")"),"Waldlabyrinth.")</f>
        <v>Waldlabyrinth.</v>
      </c>
      <c r="I175" s="23" t="str">
        <f ca="1">IFERROR(__xludf.DUMMYFUNCTION("GOOGLETRANSLATE(B175, ""en"", ""pl"")"),"Labirynt lasu")</f>
        <v>Labirynt lasu</v>
      </c>
      <c r="J175" s="25" t="str">
        <f ca="1">IFERROR(__xludf.DUMMYFUNCTION("GOOGLETRANSLATE(B175, ""en"", ""zh"")"),"森林迷宫")</f>
        <v>森林迷宫</v>
      </c>
      <c r="K175" s="25" t="str">
        <f ca="1">IFERROR(__xludf.DUMMYFUNCTION("GOOGLETRANSLATE(B175, ""en"", ""vi"")"),"Mê cung rừng")</f>
        <v>Mê cung rừng</v>
      </c>
      <c r="L175" s="26" t="str">
        <f ca="1">IFERROR(__xludf.DUMMYFUNCTION("GOOGLETRANSLATE(B175, ""en"", ""hr"")"),"Šumski labirint")</f>
        <v>Šumski labirint</v>
      </c>
      <c r="M175" s="28"/>
      <c r="N175" s="28"/>
      <c r="O175" s="28"/>
      <c r="P175" s="28"/>
      <c r="Q175" s="28"/>
      <c r="R175" s="28"/>
      <c r="S175" s="28"/>
      <c r="T175" s="28"/>
      <c r="U175" s="28"/>
      <c r="V175" s="28"/>
      <c r="W175" s="28"/>
      <c r="X175" s="28"/>
      <c r="Y175" s="28"/>
      <c r="Z175" s="28"/>
      <c r="AA175" s="28"/>
      <c r="AB175" s="28"/>
    </row>
    <row r="176" spans="1:28" ht="28" x14ac:dyDescent="0.15">
      <c r="A176" s="21" t="s">
        <v>345</v>
      </c>
      <c r="B176" s="22" t="s">
        <v>346</v>
      </c>
      <c r="C176" s="23" t="s">
        <v>347</v>
      </c>
      <c r="D176" s="23" t="str">
        <f ca="1">IFERROR(__xludf.DUMMYFUNCTION("GOOGLETRANSLATE(B176, ""en"", ""es"")"),"Arena de entrenamiento mago")</f>
        <v>Arena de entrenamiento mago</v>
      </c>
      <c r="E176" s="23" t="str">
        <f ca="1">IFERROR(__xludf.DUMMYFUNCTION("GOOGLETRANSLATE(B176, ""en"", ""ru"")"),"Маг тренировка арена")</f>
        <v>Маг тренировка арена</v>
      </c>
      <c r="F176" s="23" t="str">
        <f ca="1">IFERROR(__xludf.DUMMYFUNCTION("GOOGLETRANSLATE(B176, ""en"", ""tr"")"),"Mage eğitimi arenası")</f>
        <v>Mage eğitimi arenası</v>
      </c>
      <c r="G176" s="23" t="str">
        <f ca="1">IFERROR(__xludf.DUMMYFUNCTION("GOOGLETRANSLATE(B176, ""en"", ""pt"")"),"Arena de treinamento de mago.")</f>
        <v>Arena de treinamento de mago.</v>
      </c>
      <c r="H176" s="24" t="str">
        <f ca="1">IFERROR(__xludf.DUMMYFUNCTION("GOOGLETRANSLATE(B176, ""en"", ""de"")"),"Mage Training Arena.")</f>
        <v>Mage Training Arena.</v>
      </c>
      <c r="I176" s="23" t="str">
        <f ca="1">IFERROR(__xludf.DUMMYFUNCTION("GOOGLETRANSLATE(B176, ""en"", ""pl"")"),"Arena treningowa maga")</f>
        <v>Arena treningowa maga</v>
      </c>
      <c r="J176" s="25" t="str">
        <f ca="1">IFERROR(__xludf.DUMMYFUNCTION("GOOGLETRANSLATE(B176, ""en"", ""zh"")"),"法师训练竞技场")</f>
        <v>法师训练竞技场</v>
      </c>
      <c r="K176" s="25" t="str">
        <f ca="1">IFERROR(__xludf.DUMMYFUNCTION("GOOGLETRANSLATE(B176, ""en"", ""vi"")"),"Đấu trường đào tạo Mage.")</f>
        <v>Đấu trường đào tạo Mage.</v>
      </c>
      <c r="L176" s="26" t="str">
        <f ca="1">IFERROR(__xludf.DUMMYFUNCTION("GOOGLETRANSLATE(B176, ""en"", ""hr"")"),"Arena treninga mage")</f>
        <v>Arena treninga mage</v>
      </c>
      <c r="M176" s="28"/>
      <c r="N176" s="28"/>
      <c r="O176" s="28"/>
      <c r="P176" s="28"/>
      <c r="Q176" s="28"/>
      <c r="R176" s="28"/>
      <c r="S176" s="28"/>
      <c r="T176" s="28"/>
      <c r="U176" s="28"/>
      <c r="V176" s="28"/>
      <c r="W176" s="28"/>
      <c r="X176" s="28"/>
      <c r="Y176" s="28"/>
      <c r="Z176" s="28"/>
      <c r="AA176" s="28"/>
      <c r="AB176" s="28"/>
    </row>
    <row r="177" spans="1:28" ht="14" x14ac:dyDescent="0.15">
      <c r="A177" s="21" t="s">
        <v>348</v>
      </c>
      <c r="B177" s="22" t="s">
        <v>349</v>
      </c>
      <c r="C177" s="23" t="s">
        <v>350</v>
      </c>
      <c r="D177" s="23" t="str">
        <f ca="1">IFERROR(__xludf.DUMMYFUNCTION("GOOGLETRANSLATE(B177, ""en"", ""es"")"),"Patear")</f>
        <v>Patear</v>
      </c>
      <c r="E177" s="23" t="str">
        <f ca="1">IFERROR(__xludf.DUMMYFUNCTION("GOOGLETRANSLATE(B177, ""en"", ""ru"")"),"Пинать")</f>
        <v>Пинать</v>
      </c>
      <c r="F177" s="23" t="str">
        <f ca="1">IFERROR(__xludf.DUMMYFUNCTION("GOOGLETRANSLATE(B177, ""en"", ""tr"")"),"Atmak")</f>
        <v>Atmak</v>
      </c>
      <c r="G177" s="23" t="str">
        <f ca="1">IFERROR(__xludf.DUMMYFUNCTION("GOOGLETRANSLATE(B177, ""en"", ""pt"")"),"Chute")</f>
        <v>Chute</v>
      </c>
      <c r="H177" s="24" t="str">
        <f ca="1">IFERROR(__xludf.DUMMYFUNCTION("GOOGLETRANSLATE(B177, ""en"", ""de"")"),"Trete")</f>
        <v>Trete</v>
      </c>
      <c r="I177" s="23" t="str">
        <f ca="1">IFERROR(__xludf.DUMMYFUNCTION("GOOGLETRANSLATE(B177, ""en"", ""pl"")"),"kopnięcie")</f>
        <v>kopnięcie</v>
      </c>
      <c r="J177" s="25" t="str">
        <f ca="1">IFERROR(__xludf.DUMMYFUNCTION("GOOGLETRANSLATE(B177, ""en"", ""zh"")"),"踢")</f>
        <v>踢</v>
      </c>
      <c r="K177" s="25" t="str">
        <f ca="1">IFERROR(__xludf.DUMMYFUNCTION("GOOGLETRANSLATE(B177, ""en"", ""vi"")"),"Đá")</f>
        <v>Đá</v>
      </c>
      <c r="L177" s="26" t="str">
        <f ca="1">IFERROR(__xludf.DUMMYFUNCTION("GOOGLETRANSLATE(B177, ""en"", ""hr"")"),"Udarac")</f>
        <v>Udarac</v>
      </c>
      <c r="M177" s="28"/>
      <c r="N177" s="28"/>
      <c r="O177" s="28"/>
      <c r="P177" s="28"/>
      <c r="Q177" s="28"/>
      <c r="R177" s="28"/>
      <c r="S177" s="28"/>
      <c r="T177" s="28"/>
      <c r="U177" s="28"/>
      <c r="V177" s="28"/>
      <c r="W177" s="28"/>
      <c r="X177" s="28"/>
      <c r="Y177" s="28"/>
      <c r="Z177" s="28"/>
      <c r="AA177" s="28"/>
      <c r="AB177" s="28"/>
    </row>
    <row r="178" spans="1:28" ht="14" x14ac:dyDescent="0.15">
      <c r="A178" s="21" t="s">
        <v>351</v>
      </c>
      <c r="B178" s="22" t="s">
        <v>352</v>
      </c>
      <c r="C178" s="23" t="str">
        <f ca="1">IFERROR(__xludf.DUMMYFUNCTION("GOOGLETRANSLATE(B178, ""en"", ""fr"")"),"Promouvoir")</f>
        <v>Promouvoir</v>
      </c>
      <c r="D178" s="23" t="str">
        <f ca="1">IFERROR(__xludf.DUMMYFUNCTION("GOOGLETRANSLATE(B178, ""en"", ""es"")"),"Promover")</f>
        <v>Promover</v>
      </c>
      <c r="E178" s="23" t="str">
        <f ca="1">IFERROR(__xludf.DUMMYFUNCTION("GOOGLETRANSLATE(B178, ""en"", ""ru"")"),"Продвигать")</f>
        <v>Продвигать</v>
      </c>
      <c r="F178" s="23" t="str">
        <f ca="1">IFERROR(__xludf.DUMMYFUNCTION("GOOGLETRANSLATE(B178, ""en"", ""tr"")"),"Terfi")</f>
        <v>Terfi</v>
      </c>
      <c r="G178" s="23" t="str">
        <f ca="1">IFERROR(__xludf.DUMMYFUNCTION("GOOGLETRANSLATE(B178, ""en"", ""pt"")"),"Promover")</f>
        <v>Promover</v>
      </c>
      <c r="H178" s="24" t="str">
        <f ca="1">IFERROR(__xludf.DUMMYFUNCTION("GOOGLETRANSLATE(B178, ""en"", ""de"")"),"Fördern")</f>
        <v>Fördern</v>
      </c>
      <c r="I178" s="23" t="str">
        <f ca="1">IFERROR(__xludf.DUMMYFUNCTION("GOOGLETRANSLATE(B178, ""en"", ""pl"")"),"Promować")</f>
        <v>Promować</v>
      </c>
      <c r="J178" s="25" t="str">
        <f ca="1">IFERROR(__xludf.DUMMYFUNCTION("GOOGLETRANSLATE(B178, ""en"", ""zh"")"),"推动")</f>
        <v>推动</v>
      </c>
      <c r="K178" s="25" t="str">
        <f ca="1">IFERROR(__xludf.DUMMYFUNCTION("GOOGLETRANSLATE(B178, ""en"", ""vi"")"),"Khuyến khích")</f>
        <v>Khuyến khích</v>
      </c>
      <c r="L178" s="26" t="str">
        <f ca="1">IFERROR(__xludf.DUMMYFUNCTION("GOOGLETRANSLATE(B178, ""en"", ""hr"")"),"Promicati")</f>
        <v>Promicati</v>
      </c>
      <c r="M178" s="28"/>
      <c r="N178" s="28"/>
      <c r="O178" s="28"/>
      <c r="P178" s="28"/>
      <c r="Q178" s="28"/>
      <c r="R178" s="28"/>
      <c r="S178" s="28"/>
      <c r="T178" s="28"/>
      <c r="U178" s="28"/>
      <c r="V178" s="28"/>
      <c r="W178" s="28"/>
      <c r="X178" s="28"/>
      <c r="Y178" s="28"/>
      <c r="Z178" s="28"/>
      <c r="AA178" s="28"/>
      <c r="AB178" s="28"/>
    </row>
    <row r="179" spans="1:28" ht="14" x14ac:dyDescent="0.15">
      <c r="A179" s="21" t="s">
        <v>353</v>
      </c>
      <c r="B179" s="22" t="s">
        <v>319</v>
      </c>
      <c r="C179" s="23" t="str">
        <f ca="1">IFERROR(__xludf.DUMMYFUNCTION("GOOGLETRANSLATE(B179, ""en"", ""fr"")"),"Laisser")</f>
        <v>Laisser</v>
      </c>
      <c r="D179" s="23" t="str">
        <f ca="1">IFERROR(__xludf.DUMMYFUNCTION("GOOGLETRANSLATE(B179, ""en"", ""es"")"),"Dejar")</f>
        <v>Dejar</v>
      </c>
      <c r="E179" s="23" t="str">
        <f ca="1">IFERROR(__xludf.DUMMYFUNCTION("GOOGLETRANSLATE(B179, ""en"", ""ru"")"),"Оставлять")</f>
        <v>Оставлять</v>
      </c>
      <c r="F179" s="23" t="str">
        <f ca="1">IFERROR(__xludf.DUMMYFUNCTION("GOOGLETRANSLATE(B179, ""en"", ""tr"")"),"Terk etmek")</f>
        <v>Terk etmek</v>
      </c>
      <c r="G179" s="23" t="str">
        <f ca="1">IFERROR(__xludf.DUMMYFUNCTION("GOOGLETRANSLATE(B179, ""en"", ""pt"")"),"Sair")</f>
        <v>Sair</v>
      </c>
      <c r="H179" s="24" t="str">
        <f ca="1">IFERROR(__xludf.DUMMYFUNCTION("GOOGLETRANSLATE(B179, ""en"", ""de"")"),"Verlassen")</f>
        <v>Verlassen</v>
      </c>
      <c r="I179" s="23" t="str">
        <f ca="1">IFERROR(__xludf.DUMMYFUNCTION("GOOGLETRANSLATE(B179, ""en"", ""pl"")"),"Opuszczać")</f>
        <v>Opuszczać</v>
      </c>
      <c r="J179" s="25" t="str">
        <f ca="1">IFERROR(__xludf.DUMMYFUNCTION("GOOGLETRANSLATE(B179, ""en"", ""zh"")"),"离开")</f>
        <v>离开</v>
      </c>
      <c r="K179" s="25" t="str">
        <f ca="1">IFERROR(__xludf.DUMMYFUNCTION("GOOGLETRANSLATE(B179, ""en"", ""vi"")"),"Rời bỏ")</f>
        <v>Rời bỏ</v>
      </c>
      <c r="L179" s="26" t="str">
        <f ca="1">IFERROR(__xludf.DUMMYFUNCTION("GOOGLETRANSLATE(B179, ""en"", ""hr"")"),"Napustiti")</f>
        <v>Napustiti</v>
      </c>
      <c r="M179" s="28"/>
      <c r="N179" s="28"/>
      <c r="O179" s="28"/>
      <c r="P179" s="28"/>
      <c r="Q179" s="28"/>
      <c r="R179" s="28"/>
      <c r="S179" s="28"/>
      <c r="T179" s="28"/>
      <c r="U179" s="28"/>
      <c r="V179" s="28"/>
      <c r="W179" s="28"/>
      <c r="X179" s="28"/>
      <c r="Y179" s="28"/>
      <c r="Z179" s="28"/>
      <c r="AA179" s="28"/>
      <c r="AB179" s="28"/>
    </row>
    <row r="180" spans="1:28" ht="14" x14ac:dyDescent="0.15">
      <c r="A180" s="21" t="s">
        <v>145</v>
      </c>
      <c r="B180" s="22" t="s">
        <v>145</v>
      </c>
      <c r="C180" s="23" t="str">
        <f ca="1">IFERROR(__xludf.DUMMYFUNCTION("GOOGLETRANSLATE(B180, ""en"", ""fr"")"),"Clan")</f>
        <v>Clan</v>
      </c>
      <c r="D180" s="23" t="str">
        <f ca="1">IFERROR(__xludf.DUMMYFUNCTION("GOOGLETRANSLATE(B180, ""en"", ""es"")"),"Clan")</f>
        <v>Clan</v>
      </c>
      <c r="E180" s="23" t="str">
        <f ca="1">IFERROR(__xludf.DUMMYFUNCTION("GOOGLETRANSLATE(B180, ""en"", ""ru"")"),"Клан")</f>
        <v>Клан</v>
      </c>
      <c r="F180" s="23" t="str">
        <f ca="1">IFERROR(__xludf.DUMMYFUNCTION("GOOGLETRANSLATE(B180, ""en"", ""tr"")"),"Klan")</f>
        <v>Klan</v>
      </c>
      <c r="G180" s="23" t="str">
        <f ca="1">IFERROR(__xludf.DUMMYFUNCTION("GOOGLETRANSLATE(B180, ""en"", ""pt"")"),"Clã")</f>
        <v>Clã</v>
      </c>
      <c r="H180" s="24" t="str">
        <f ca="1">IFERROR(__xludf.DUMMYFUNCTION("GOOGLETRANSLATE(B180, ""en"", ""de"")"),"Clan")</f>
        <v>Clan</v>
      </c>
      <c r="I180" s="23" t="str">
        <f ca="1">IFERROR(__xludf.DUMMYFUNCTION("GOOGLETRANSLATE(B180, ""en"", ""pl"")"),"Klan")</f>
        <v>Klan</v>
      </c>
      <c r="J180" s="25" t="str">
        <f ca="1">IFERROR(__xludf.DUMMYFUNCTION("GOOGLETRANSLATE(B180, ""en"", ""zh"")"),"氏族")</f>
        <v>氏族</v>
      </c>
      <c r="K180" s="25" t="str">
        <f ca="1">IFERROR(__xludf.DUMMYFUNCTION("GOOGLETRANSLATE(B180, ""en"", ""vi"")"),"Gia tộc")</f>
        <v>Gia tộc</v>
      </c>
      <c r="L180" s="26" t="str">
        <f ca="1">IFERROR(__xludf.DUMMYFUNCTION("GOOGLETRANSLATE(B180, ""en"", ""hr"")"),"Klan")</f>
        <v>Klan</v>
      </c>
      <c r="M180" s="28"/>
      <c r="N180" s="28"/>
      <c r="O180" s="28"/>
      <c r="P180" s="28"/>
      <c r="Q180" s="28"/>
      <c r="R180" s="28"/>
      <c r="S180" s="28"/>
      <c r="T180" s="28"/>
      <c r="U180" s="28"/>
      <c r="V180" s="28"/>
      <c r="W180" s="28"/>
      <c r="X180" s="28"/>
      <c r="Y180" s="28"/>
      <c r="Z180" s="28"/>
      <c r="AA180" s="28"/>
      <c r="AB180" s="28"/>
    </row>
    <row r="181" spans="1:28" ht="28" x14ac:dyDescent="0.15">
      <c r="A181" s="21" t="s">
        <v>354</v>
      </c>
      <c r="B181" s="22" t="s">
        <v>355</v>
      </c>
      <c r="C181" s="23" t="str">
        <f ca="1">IFERROR(__xludf.DUMMYFUNCTION("GOOGLETRANSLATE(B181, ""en"", ""fr"")"),"Vous êtes déjà dans un clan.")</f>
        <v>Vous êtes déjà dans un clan.</v>
      </c>
      <c r="D181" s="23" t="str">
        <f ca="1">IFERROR(__xludf.DUMMYFUNCTION("GOOGLETRANSLATE(B181, ""en"", ""es"")"),"Ya estás en un clan.")</f>
        <v>Ya estás en un clan.</v>
      </c>
      <c r="E181" s="23" t="str">
        <f ca="1">IFERROR(__xludf.DUMMYFUNCTION("GOOGLETRANSLATE(B181, ""en"", ""ru"")"),"Вы уже в клане.")</f>
        <v>Вы уже в клане.</v>
      </c>
      <c r="F181" s="23" t="str">
        <f ca="1">IFERROR(__xludf.DUMMYFUNCTION("GOOGLETRANSLATE(B181, ""en"", ""tr"")"),"Sen zaten bir klanındasın.")</f>
        <v>Sen zaten bir klanındasın.</v>
      </c>
      <c r="G181" s="23" t="str">
        <f ca="1">IFERROR(__xludf.DUMMYFUNCTION("GOOGLETRANSLATE(B181, ""en"", ""pt"")"),"Você já está em um clã.")</f>
        <v>Você já está em um clã.</v>
      </c>
      <c r="H181" s="24" t="str">
        <f ca="1">IFERROR(__xludf.DUMMYFUNCTION("GOOGLETRANSLATE(B181, ""en"", ""de"")"),"Du bist schon in einem Clan.")</f>
        <v>Du bist schon in einem Clan.</v>
      </c>
      <c r="I181" s="23" t="str">
        <f ca="1">IFERROR(__xludf.DUMMYFUNCTION("GOOGLETRANSLATE(B181, ""en"", ""pl"")"),"Jesteś już w klanie.")</f>
        <v>Jesteś już w klanie.</v>
      </c>
      <c r="J181" s="25" t="str">
        <f ca="1">IFERROR(__xludf.DUMMYFUNCTION("GOOGLETRANSLATE(B181, ""en"", ""zh"")"),"你已经在一个氏族。")</f>
        <v>你已经在一个氏族。</v>
      </c>
      <c r="K181" s="25" t="str">
        <f ca="1">IFERROR(__xludf.DUMMYFUNCTION("GOOGLETRANSLATE(B181, ""en"", ""vi"")"),"Bạn đã ở trong một bang hội.")</f>
        <v>Bạn đã ở trong một bang hội.</v>
      </c>
      <c r="L181" s="26" t="str">
        <f ca="1">IFERROR(__xludf.DUMMYFUNCTION("GOOGLETRANSLATE(B181, ""en"", ""hr"")"),"Već ste u klan.")</f>
        <v>Već ste u klan.</v>
      </c>
      <c r="M181" s="28"/>
      <c r="N181" s="28"/>
      <c r="O181" s="28"/>
      <c r="P181" s="28"/>
      <c r="Q181" s="28"/>
      <c r="R181" s="28"/>
      <c r="S181" s="28"/>
      <c r="T181" s="28"/>
      <c r="U181" s="28"/>
      <c r="V181" s="28"/>
      <c r="W181" s="28"/>
      <c r="X181" s="28"/>
      <c r="Y181" s="28"/>
      <c r="Z181" s="28"/>
      <c r="AA181" s="28"/>
      <c r="AB181" s="28"/>
    </row>
    <row r="182" spans="1:28" ht="28" x14ac:dyDescent="0.15">
      <c r="A182" s="21" t="s">
        <v>356</v>
      </c>
      <c r="B182" s="22" t="s">
        <v>357</v>
      </c>
      <c r="C182" s="23" t="s">
        <v>358</v>
      </c>
      <c r="D182" s="23" t="str">
        <f ca="1">IFERROR(__xludf.DUMMYFUNCTION("GOOGLETRANSLATE(B182, ""en"", ""es"")"),"¡El clan se unió!")</f>
        <v>¡El clan se unió!</v>
      </c>
      <c r="E182" s="23" t="str">
        <f ca="1">IFERROR(__xludf.DUMMYFUNCTION("GOOGLETRANSLATE(B182, ""en"", ""ru"")"),"Клан присоединился!")</f>
        <v>Клан присоединился!</v>
      </c>
      <c r="F182" s="23" t="str">
        <f ca="1">IFERROR(__xludf.DUMMYFUNCTION("GOOGLETRANSLATE(B182, ""en"", ""tr"")"),"Klan katıldı!")</f>
        <v>Klan katıldı!</v>
      </c>
      <c r="G182" s="23" t="str">
        <f ca="1">IFERROR(__xludf.DUMMYFUNCTION("GOOGLETRANSLATE(B182, ""en"", ""pt"")"),"Clã juntou-se!")</f>
        <v>Clã juntou-se!</v>
      </c>
      <c r="H182" s="24" t="str">
        <f ca="1">IFERROR(__xludf.DUMMYFUNCTION("GOOGLETRANSLATE(B182, ""en"", ""de"")"),"Clan ist beigetreten!")</f>
        <v>Clan ist beigetreten!</v>
      </c>
      <c r="I182" s="23" t="str">
        <f ca="1">IFERROR(__xludf.DUMMYFUNCTION("GOOGLETRANSLATE(B182, ""en"", ""pl"")"),"Klan dołączył!")</f>
        <v>Klan dołączył!</v>
      </c>
      <c r="J182" s="25" t="str">
        <f ca="1">IFERROR(__xludf.DUMMYFUNCTION("GOOGLETRANSLATE(B182, ""en"", ""zh"")"),"氏族加入了！")</f>
        <v>氏族加入了！</v>
      </c>
      <c r="K182" s="25" t="str">
        <f ca="1">IFERROR(__xludf.DUMMYFUNCTION("GOOGLETRANSLATE(B182, ""en"", ""vi"")"),"Clan tham gia!")</f>
        <v>Clan tham gia!</v>
      </c>
      <c r="L182" s="26" t="str">
        <f ca="1">IFERROR(__xludf.DUMMYFUNCTION("GOOGLETRANSLATE(B182, ""en"", ""hr"")"),"Klan je pridružio!")</f>
        <v>Klan je pridružio!</v>
      </c>
      <c r="M182" s="28"/>
      <c r="N182" s="28"/>
      <c r="O182" s="28"/>
      <c r="P182" s="28"/>
      <c r="Q182" s="28"/>
      <c r="R182" s="28"/>
      <c r="S182" s="28"/>
      <c r="T182" s="28"/>
      <c r="U182" s="28"/>
      <c r="V182" s="28"/>
      <c r="W182" s="28"/>
      <c r="X182" s="28"/>
      <c r="Y182" s="28"/>
      <c r="Z182" s="28"/>
      <c r="AA182" s="28"/>
      <c r="AB182" s="28"/>
    </row>
    <row r="183" spans="1:28" ht="28" x14ac:dyDescent="0.15">
      <c r="A183" s="21" t="s">
        <v>359</v>
      </c>
      <c r="B183" s="22" t="s">
        <v>360</v>
      </c>
      <c r="C183" s="23" t="str">
        <f ca="1">IFERROR(__xludf.DUMMYFUNCTION("GOOGLETRANSLATE(B183, ""en"", ""fr"")"),"Limite de structure du clan atteinte.")</f>
        <v>Limite de structure du clan atteinte.</v>
      </c>
      <c r="D183" s="23" t="str">
        <f ca="1">IFERROR(__xludf.DUMMYFUNCTION("GOOGLETRANSLATE(B183, ""en"", ""es"")"),"Límite de estructura del clan alcanzado.")</f>
        <v>Límite de estructura del clan alcanzado.</v>
      </c>
      <c r="E183" s="23" t="str">
        <f ca="1">IFERROR(__xludf.DUMMYFUNCTION("GOOGLETRANSLATE(B183, ""en"", ""ru"")"),"Доступен предел структуры клана.")</f>
        <v>Доступен предел структуры клана.</v>
      </c>
      <c r="F183" s="23" t="str">
        <f ca="1">IFERROR(__xludf.DUMMYFUNCTION("GOOGLETRANSLATE(B183, ""en"", ""tr"")"),"Klan yapısı sınırı ulaştı.")</f>
        <v>Klan yapısı sınırı ulaştı.</v>
      </c>
      <c r="G183" s="23" t="str">
        <f ca="1">IFERROR(__xludf.DUMMYFUNCTION("GOOGLETRANSLATE(B183, ""en"", ""pt"")"),"Limite de estrutura de clã atingido.")</f>
        <v>Limite de estrutura de clã atingido.</v>
      </c>
      <c r="H183" s="24" t="str">
        <f ca="1">IFERROR(__xludf.DUMMYFUNCTION("GOOGLETRANSLATE(B183, ""en"", ""de"")"),"Clanstrukturlimit erreicht.")</f>
        <v>Clanstrukturlimit erreicht.</v>
      </c>
      <c r="I183" s="23" t="str">
        <f ca="1">IFERROR(__xludf.DUMMYFUNCTION("GOOGLETRANSLATE(B183, ""en"", ""pl"")"),"Osiągnął limit konstrukcji klanu.")</f>
        <v>Osiągnął limit konstrukcji klanu.</v>
      </c>
      <c r="J183" s="25" t="str">
        <f ca="1">IFERROR(__xludf.DUMMYFUNCTION("GOOGLETRANSLATE(B183, ""en"", ""zh"")"),"氏族结构限制达到。")</f>
        <v>氏族结构限制达到。</v>
      </c>
      <c r="K183" s="25" t="str">
        <f ca="1">IFERROR(__xludf.DUMMYFUNCTION("GOOGLETRANSLATE(B183, ""en"", ""vi"")"),"Đạt đến giới hạn cấu trúc gia tộc.")</f>
        <v>Đạt đến giới hạn cấu trúc gia tộc.</v>
      </c>
      <c r="L183" s="26" t="str">
        <f ca="1">IFERROR(__xludf.DUMMYFUNCTION("GOOGLETRANSLATE(B183, ""en"", ""hr"")"),"Ograničenje konstrukcije klana.")</f>
        <v>Ograničenje konstrukcije klana.</v>
      </c>
      <c r="M183" s="28"/>
      <c r="N183" s="28"/>
      <c r="O183" s="28"/>
      <c r="P183" s="28"/>
      <c r="Q183" s="28"/>
      <c r="R183" s="28"/>
      <c r="S183" s="28"/>
      <c r="T183" s="28"/>
      <c r="U183" s="28"/>
      <c r="V183" s="28"/>
      <c r="W183" s="28"/>
      <c r="X183" s="28"/>
      <c r="Y183" s="28"/>
      <c r="Z183" s="28"/>
      <c r="AA183" s="28"/>
      <c r="AB183" s="28"/>
    </row>
    <row r="184" spans="1:28" ht="28" x14ac:dyDescent="0.15">
      <c r="A184" s="21" t="s">
        <v>361</v>
      </c>
      <c r="B184" s="22" t="s">
        <v>362</v>
      </c>
      <c r="C184" s="23" t="s">
        <v>363</v>
      </c>
      <c r="D184" s="23" t="str">
        <f ca="1">IFERROR(__xludf.DUMMYFUNCTION("GOOGLETRANSLATE(B184, ""en"", ""es"")"),"¡Tu clan ha sido destruido!")</f>
        <v>¡Tu clan ha sido destruido!</v>
      </c>
      <c r="E184" s="23" t="str">
        <f ca="1">IFERROR(__xludf.DUMMYFUNCTION("GOOGLETRANSLATE(B184, ""en"", ""ru"")"),"Ваш клан был разрушен!")</f>
        <v>Ваш клан был разрушен!</v>
      </c>
      <c r="F184" s="23" t="str">
        <f ca="1">IFERROR(__xludf.DUMMYFUNCTION("GOOGLETRANSLATE(B184, ""en"", ""tr"")"),"Klanın yok edildi!")</f>
        <v>Klanın yok edildi!</v>
      </c>
      <c r="G184" s="23" t="str">
        <f ca="1">IFERROR(__xludf.DUMMYFUNCTION("GOOGLETRANSLATE(B184, ""en"", ""pt"")"),"Seu clã foi destruído!")</f>
        <v>Seu clã foi destruído!</v>
      </c>
      <c r="H184" s="24" t="str">
        <f ca="1">IFERROR(__xludf.DUMMYFUNCTION("GOOGLETRANSLATE(B184, ""en"", ""de"")"),"Ihr Clan wurde zerstört!")</f>
        <v>Ihr Clan wurde zerstört!</v>
      </c>
      <c r="I184" s="23" t="str">
        <f ca="1">IFERROR(__xludf.DUMMYFUNCTION("GOOGLETRANSLATE(B184, ""en"", ""pl"")"),"Twój klan został zniszczony!")</f>
        <v>Twój klan został zniszczony!</v>
      </c>
      <c r="J184" s="25" t="str">
        <f ca="1">IFERROR(__xludf.DUMMYFUNCTION("GOOGLETRANSLATE(B184, ""en"", ""zh"")"),"你的族人被摧毁了！")</f>
        <v>你的族人被摧毁了！</v>
      </c>
      <c r="K184" s="25" t="str">
        <f ca="1">IFERROR(__xludf.DUMMYFUNCTION("GOOGLETRANSLATE(B184, ""en"", ""vi"")"),"Gia tộc của bạn đã bị phá hủy!")</f>
        <v>Gia tộc của bạn đã bị phá hủy!</v>
      </c>
      <c r="L184" s="26" t="str">
        <f ca="1">IFERROR(__xludf.DUMMYFUNCTION("GOOGLETRANSLATE(B184, ""en"", ""hr"")"),"Vaš klan je uništen!")</f>
        <v>Vaš klan je uništen!</v>
      </c>
      <c r="M184" s="28"/>
      <c r="N184" s="28"/>
      <c r="O184" s="28"/>
      <c r="P184" s="28"/>
      <c r="Q184" s="28"/>
      <c r="R184" s="28"/>
      <c r="S184" s="28"/>
      <c r="T184" s="28"/>
      <c r="U184" s="28"/>
      <c r="V184" s="28"/>
      <c r="W184" s="28"/>
      <c r="X184" s="28"/>
      <c r="Y184" s="28"/>
      <c r="Z184" s="28"/>
      <c r="AA184" s="28"/>
      <c r="AB184" s="28"/>
    </row>
    <row r="185" spans="1:28" ht="28" x14ac:dyDescent="0.15">
      <c r="A185" s="21" t="s">
        <v>364</v>
      </c>
      <c r="B185" s="22" t="s">
        <v>365</v>
      </c>
      <c r="C185" s="23" t="s">
        <v>366</v>
      </c>
      <c r="D185" s="23" t="str">
        <f ca="1">IFERROR(__xludf.DUMMYFUNCTION("GOOGLETRANSLATE(B185, ""en"", ""es"")"),"Miembro del clan pateado:")</f>
        <v>Miembro del clan pateado:</v>
      </c>
      <c r="E185" s="23" t="str">
        <f ca="1">IFERROR(__xludf.DUMMYFUNCTION("GOOGLETRANSLATE(B185, ""en"", ""ru"")"),"Член клана ударил:")</f>
        <v>Член клана ударил:</v>
      </c>
      <c r="F185" s="23" t="str">
        <f ca="1">IFERROR(__xludf.DUMMYFUNCTION("GOOGLETRANSLATE(B185, ""en"", ""tr"")"),"Klan üyesi tekmeledi:")</f>
        <v>Klan üyesi tekmeledi:</v>
      </c>
      <c r="G185" s="23" t="str">
        <f ca="1">IFERROR(__xludf.DUMMYFUNCTION("GOOGLETRANSLATE(B185, ""en"", ""pt"")"),"Membro do clã chutado:")</f>
        <v>Membro do clã chutado:</v>
      </c>
      <c r="H185" s="24" t="str">
        <f ca="1">IFERROR(__xludf.DUMMYFUNCTION("GOOGLETRANSLATE(B185, ""en"", ""de"")"),"Clan Member Tritt:")</f>
        <v>Clan Member Tritt:</v>
      </c>
      <c r="I185" s="23" t="str">
        <f ca="1">IFERROR(__xludf.DUMMYFUNCTION("GOOGLETRANSLATE(B185, ""en"", ""pl"")"),"Kopany członek klanu:")</f>
        <v>Kopany członek klanu:</v>
      </c>
      <c r="J185" s="25" t="str">
        <f ca="1">IFERROR(__xludf.DUMMYFUNCTION("GOOGLETRANSLATE(B185, ""en"", ""zh"")"),"氏族成员踢了：")</f>
        <v>氏族成员踢了：</v>
      </c>
      <c r="K185" s="25" t="str">
        <f ca="1">IFERROR(__xludf.DUMMYFUNCTION("GOOGLETRANSLATE(B185, ""en"", ""vi"")"),"Thành viên Clan bị đá:")</f>
        <v>Thành viên Clan bị đá:</v>
      </c>
      <c r="L185" s="26" t="str">
        <f ca="1">IFERROR(__xludf.DUMMYFUNCTION("GOOGLETRANSLATE(B185, ""en"", ""hr"")"),"Član klana je udario:")</f>
        <v>Član klana je udario:</v>
      </c>
      <c r="M185" s="28"/>
      <c r="N185" s="28"/>
      <c r="O185" s="28"/>
      <c r="P185" s="28"/>
      <c r="Q185" s="28"/>
      <c r="R185" s="28"/>
      <c r="S185" s="28"/>
      <c r="T185" s="28"/>
      <c r="U185" s="28"/>
      <c r="V185" s="28"/>
      <c r="W185" s="28"/>
      <c r="X185" s="28"/>
      <c r="Y185" s="28"/>
      <c r="Z185" s="28"/>
      <c r="AA185" s="28"/>
      <c r="AB185" s="28"/>
    </row>
    <row r="186" spans="1:28" ht="42" x14ac:dyDescent="0.15">
      <c r="A186" s="21" t="s">
        <v>367</v>
      </c>
      <c r="B186" s="22" t="s">
        <v>368</v>
      </c>
      <c r="C186" s="23" t="str">
        <f ca="1">IFERROR(__xludf.DUMMYFUNCTION("GOOGLETRANSLATE(B186, ""en"", ""fr"")"),"Vous avez été promu dans votre clan.")</f>
        <v>Vous avez été promu dans votre clan.</v>
      </c>
      <c r="D186" s="23" t="str">
        <f ca="1">IFERROR(__xludf.DUMMYFUNCTION("GOOGLETRANSLATE(B186, ""en"", ""es"")"),"Has sido promovido en tu clan.")</f>
        <v>Has sido promovido en tu clan.</v>
      </c>
      <c r="E186" s="23" t="str">
        <f ca="1">IFERROR(__xludf.DUMMYFUNCTION("GOOGLETRANSLATE(B186, ""en"", ""ru"")"),"Вы были продвинуты в вашем клане.")</f>
        <v>Вы были продвинуты в вашем клане.</v>
      </c>
      <c r="F186" s="23" t="str">
        <f ca="1">IFERROR(__xludf.DUMMYFUNCTION("GOOGLETRANSLATE(B186, ""en"", ""tr"")"),"Klanınıza terfi ettiniz.")</f>
        <v>Klanınıza terfi ettiniz.</v>
      </c>
      <c r="G186" s="23" t="str">
        <f ca="1">IFERROR(__xludf.DUMMYFUNCTION("GOOGLETRANSLATE(B186, ""en"", ""pt"")"),"Você foi promovido no seu clã.")</f>
        <v>Você foi promovido no seu clã.</v>
      </c>
      <c r="H186" s="24" t="str">
        <f ca="1">IFERROR(__xludf.DUMMYFUNCTION("GOOGLETRANSLATE(B186, ""en"", ""de"")"),"Sie wurden in Ihrem Clan befördert.")</f>
        <v>Sie wurden in Ihrem Clan befördert.</v>
      </c>
      <c r="I186" s="23" t="str">
        <f ca="1">IFERROR(__xludf.DUMMYFUNCTION("GOOGLETRANSLATE(B186, ""en"", ""pl"")"),"Zostałeś awansowany w swoim klanie.")</f>
        <v>Zostałeś awansowany w swoim klanie.</v>
      </c>
      <c r="J186" s="25" t="str">
        <f ca="1">IFERROR(__xludf.DUMMYFUNCTION("GOOGLETRANSLATE(B186, ""en"", ""zh"")"),"您已在您的氏族晋升。")</f>
        <v>您已在您的氏族晋升。</v>
      </c>
      <c r="K186" s="25" t="str">
        <f ca="1">IFERROR(__xludf.DUMMYFUNCTION("GOOGLETRANSLATE(B186, ""en"", ""vi"")"),"Bạn đã được thăng chức trong bang hội của bạn.")</f>
        <v>Bạn đã được thăng chức trong bang hội của bạn.</v>
      </c>
      <c r="L186" s="26" t="str">
        <f ca="1">IFERROR(__xludf.DUMMYFUNCTION("GOOGLETRANSLATE(B186, ""en"", ""hr"")"),"Promovirali ste u vašem klanu.")</f>
        <v>Promovirali ste u vašem klanu.</v>
      </c>
      <c r="M186" s="28"/>
      <c r="N186" s="28"/>
      <c r="O186" s="28"/>
      <c r="P186" s="28"/>
      <c r="Q186" s="28"/>
      <c r="R186" s="28"/>
      <c r="S186" s="28"/>
      <c r="T186" s="28"/>
      <c r="U186" s="28"/>
      <c r="V186" s="28"/>
      <c r="W186" s="28"/>
      <c r="X186" s="28"/>
      <c r="Y186" s="28"/>
      <c r="Z186" s="28"/>
      <c r="AA186" s="28"/>
      <c r="AB186" s="28"/>
    </row>
    <row r="187" spans="1:28" ht="28" x14ac:dyDescent="0.15">
      <c r="A187" s="21" t="s">
        <v>369</v>
      </c>
      <c r="B187" s="22" t="s">
        <v>370</v>
      </c>
      <c r="C187" s="23" t="s">
        <v>371</v>
      </c>
      <c r="D187" s="23" t="str">
        <f ca="1">IFERROR(__xludf.DUMMYFUNCTION("GOOGLETRANSLATE(B187, ""en"", ""es"")"),"Pillaxe necesaria para mi mineral.")</f>
        <v>Pillaxe necesaria para mi mineral.</v>
      </c>
      <c r="E187" s="23" t="str">
        <f ca="1">IFERROR(__xludf.DUMMYFUNCTION("GOOGLETRANSLATE(B187, ""en"", ""ru"")"),"Кирбек должен был до руды.")</f>
        <v>Кирбек должен был до руды.</v>
      </c>
      <c r="F187" s="23" t="str">
        <f ca="1">IFERROR(__xludf.DUMMYFUNCTION("GOOGLETRANSLATE(B187, ""en"", ""tr"")"),"Pickaxe, cevher için gerekli.")</f>
        <v>Pickaxe, cevher için gerekli.</v>
      </c>
      <c r="G187" s="23" t="str">
        <f ca="1">IFERROR(__xludf.DUMMYFUNCTION("GOOGLETRANSLATE(B187, ""en"", ""pt"")"),"Picareta precisava de minério.")</f>
        <v>Picareta precisava de minério.</v>
      </c>
      <c r="H187" s="24" t="str">
        <f ca="1">IFERROR(__xludf.DUMMYFUNCTION("GOOGLETRANSLATE(B187, ""en"", ""de"")"),"Picker musste zu meinem Erz benötigt.")</f>
        <v>Picker musste zu meinem Erz benötigt.</v>
      </c>
      <c r="I187" s="23" t="str">
        <f ca="1">IFERROR(__xludf.DUMMYFUNCTION("GOOGLETRANSLATE(B187, ""en"", ""pl"")"),"Picisle potrzebna do mojego rudy.")</f>
        <v>Picisle potrzebna do mojego rudy.</v>
      </c>
      <c r="J187" s="25" t="str">
        <f ca="1">IFERROR(__xludf.DUMMYFUNCTION("GOOGLETRANSLATE(B187, ""en"", ""zh"")"),"挖掘矿石需要镐。")</f>
        <v>挖掘矿石需要镐。</v>
      </c>
      <c r="K187" s="25" t="str">
        <f ca="1">IFERROR(__xludf.DUMMYFUNCTION("GOOGLETRANSLATE(B187, ""en"", ""vi"")"),"Pickaxe cần thiết để khai thác quặng.")</f>
        <v>Pickaxe cần thiết để khai thác quặng.</v>
      </c>
      <c r="L187" s="26" t="str">
        <f ca="1">IFERROR(__xludf.DUMMYFUNCTION("GOOGLETRANSLATE(B187, ""en"", ""hr"")"),"Pikaksi je potreban za moje rude.")</f>
        <v>Pikaksi je potreban za moje rude.</v>
      </c>
      <c r="M187" s="28"/>
      <c r="N187" s="28"/>
      <c r="O187" s="28"/>
      <c r="P187" s="28"/>
      <c r="Q187" s="28"/>
      <c r="R187" s="28"/>
      <c r="S187" s="28"/>
      <c r="T187" s="28"/>
      <c r="U187" s="28"/>
      <c r="V187" s="28"/>
      <c r="W187" s="28"/>
      <c r="X187" s="28"/>
      <c r="Y187" s="28"/>
      <c r="Z187" s="28"/>
      <c r="AA187" s="28"/>
      <c r="AB187" s="28"/>
    </row>
    <row r="188" spans="1:28" ht="14" x14ac:dyDescent="0.15">
      <c r="A188" s="21" t="s">
        <v>372</v>
      </c>
      <c r="B188" s="22" t="s">
        <v>372</v>
      </c>
      <c r="C188" s="23" t="s">
        <v>373</v>
      </c>
      <c r="D188" s="23" t="str">
        <f ca="1">IFERROR(__xludf.DUMMYFUNCTION("GOOGLETRANSLATE(B188, ""en"", ""es"")"),"Recoger el artículo")</f>
        <v>Recoger el artículo</v>
      </c>
      <c r="E188" s="23" t="str">
        <f ca="1">IFERROR(__xludf.DUMMYFUNCTION("GOOGLETRANSLATE(B188, ""en"", ""ru"")"),"Забрать предмет")</f>
        <v>Забрать предмет</v>
      </c>
      <c r="F188" s="23" t="str">
        <f ca="1">IFERROR(__xludf.DUMMYFUNCTION("GOOGLETRANSLATE(B188, ""en"", ""tr"")"),"Öğeyi almak")</f>
        <v>Öğeyi almak</v>
      </c>
      <c r="G188" s="23" t="str">
        <f ca="1">IFERROR(__xludf.DUMMYFUNCTION("GOOGLETRANSLATE(B188, ""en"", ""pt"")"),"Pegar item")</f>
        <v>Pegar item</v>
      </c>
      <c r="H188" s="24" t="str">
        <f ca="1">IFERROR(__xludf.DUMMYFUNCTION("GOOGLETRANSLATE(B188, ""en"", ""de"")"),"Artikel abholen.")</f>
        <v>Artikel abholen.</v>
      </c>
      <c r="I188" s="23" t="str">
        <f ca="1">IFERROR(__xludf.DUMMYFUNCTION("GOOGLETRANSLATE(B188, ""en"", ""pl"")"),"Podnieś przedmiot")</f>
        <v>Podnieś przedmiot</v>
      </c>
      <c r="J188" s="25" t="str">
        <f ca="1">IFERROR(__xludf.DUMMYFUNCTION("GOOGLETRANSLATE(B188, ""en"", ""zh"")"),"拿起物品")</f>
        <v>拿起物品</v>
      </c>
      <c r="K188" s="25" t="str">
        <f ca="1">IFERROR(__xludf.DUMMYFUNCTION("GOOGLETRANSLATE(B188, ""en"", ""vi"")"),"Đón mục")</f>
        <v>Đón mục</v>
      </c>
      <c r="L188" s="26" t="str">
        <f ca="1">IFERROR(__xludf.DUMMYFUNCTION("GOOGLETRANSLATE(B188, ""en"", ""hr"")"),"Pokupiti stavku")</f>
        <v>Pokupiti stavku</v>
      </c>
      <c r="M188" s="28"/>
      <c r="N188" s="28"/>
      <c r="O188" s="28"/>
      <c r="P188" s="28"/>
      <c r="Q188" s="28"/>
      <c r="R188" s="28"/>
      <c r="S188" s="28"/>
      <c r="T188" s="28"/>
      <c r="U188" s="28"/>
      <c r="V188" s="28"/>
      <c r="W188" s="28"/>
      <c r="X188" s="28"/>
      <c r="Y188" s="28"/>
      <c r="Z188" s="28"/>
      <c r="AA188" s="28"/>
      <c r="AB188" s="28"/>
    </row>
    <row r="189" spans="1:28" ht="14" x14ac:dyDescent="0.15">
      <c r="A189" s="21" t="s">
        <v>374</v>
      </c>
      <c r="B189" s="22" t="s">
        <v>374</v>
      </c>
      <c r="C189" s="23" t="str">
        <f ca="1">IFERROR(__xludf.DUMMYFUNCTION("GOOGLETRANSLATE(B189, ""en"", ""fr"")"),"Base")</f>
        <v>Base</v>
      </c>
      <c r="D189" s="23" t="str">
        <f ca="1">IFERROR(__xludf.DUMMYFUNCTION("GOOGLETRANSLATE(B189, ""en"", ""es"")"),"Base")</f>
        <v>Base</v>
      </c>
      <c r="E189" s="23" t="str">
        <f ca="1">IFERROR(__xludf.DUMMYFUNCTION("GOOGLETRANSLATE(B189, ""en"", ""ru"")"),"База")</f>
        <v>База</v>
      </c>
      <c r="F189" s="23" t="str">
        <f ca="1">IFERROR(__xludf.DUMMYFUNCTION("GOOGLETRANSLATE(B189, ""en"", ""tr"")"),"Temel")</f>
        <v>Temel</v>
      </c>
      <c r="G189" s="23" t="str">
        <f ca="1">IFERROR(__xludf.DUMMYFUNCTION("GOOGLETRANSLATE(B189, ""en"", ""pt"")"),"Base")</f>
        <v>Base</v>
      </c>
      <c r="H189" s="24" t="str">
        <f ca="1">IFERROR(__xludf.DUMMYFUNCTION("GOOGLETRANSLATE(B189, ""en"", ""de"")"),"Base")</f>
        <v>Base</v>
      </c>
      <c r="I189" s="23" t="str">
        <f ca="1">IFERROR(__xludf.DUMMYFUNCTION("GOOGLETRANSLATE(B189, ""en"", ""pl"")"),"Baza")</f>
        <v>Baza</v>
      </c>
      <c r="J189" s="25" t="str">
        <f ca="1">IFERROR(__xludf.DUMMYFUNCTION("GOOGLETRANSLATE(B189, ""en"", ""zh"")"),"根据")</f>
        <v>根据</v>
      </c>
      <c r="K189" s="25" t="str">
        <f ca="1">IFERROR(__xludf.DUMMYFUNCTION("GOOGLETRANSLATE(B189, ""en"", ""vi"")"),"Cơ sở")</f>
        <v>Cơ sở</v>
      </c>
      <c r="L189" s="26" t="str">
        <f ca="1">IFERROR(__xludf.DUMMYFUNCTION("GOOGLETRANSLATE(B189, ""en"", ""hr"")"),"Baza")</f>
        <v>Baza</v>
      </c>
      <c r="M189" s="28"/>
      <c r="N189" s="28"/>
      <c r="O189" s="28"/>
      <c r="P189" s="28"/>
      <c r="Q189" s="28"/>
      <c r="R189" s="28"/>
      <c r="S189" s="28"/>
      <c r="T189" s="28"/>
      <c r="U189" s="28"/>
      <c r="V189" s="28"/>
      <c r="W189" s="28"/>
      <c r="X189" s="28"/>
      <c r="Y189" s="28"/>
      <c r="Z189" s="28"/>
      <c r="AA189" s="28"/>
      <c r="AB189" s="28"/>
    </row>
    <row r="190" spans="1:28" ht="14" x14ac:dyDescent="0.15">
      <c r="A190" s="21" t="s">
        <v>375</v>
      </c>
      <c r="B190" s="22" t="s">
        <v>375</v>
      </c>
      <c r="C190" s="23" t="str">
        <f ca="1">IFERROR(__xludf.DUMMYFUNCTION("GOOGLETRANSLATE(B190, ""en"", ""fr"")"),"Enclume")</f>
        <v>Enclume</v>
      </c>
      <c r="D190" s="23" t="str">
        <f ca="1">IFERROR(__xludf.DUMMYFUNCTION("GOOGLETRANSLATE(B190, ""en"", ""es"")"),"Yunque")</f>
        <v>Yunque</v>
      </c>
      <c r="E190" s="23" t="str">
        <f ca="1">IFERROR(__xludf.DUMMYFUNCTION("GOOGLETRANSLATE(B190, ""en"", ""ru"")"),"Наковальня")</f>
        <v>Наковальня</v>
      </c>
      <c r="F190" s="23" t="str">
        <f ca="1">IFERROR(__xludf.DUMMYFUNCTION("GOOGLETRANSLATE(B190, ""en"", ""tr"")"),"Örs")</f>
        <v>Örs</v>
      </c>
      <c r="G190" s="23" t="str">
        <f ca="1">IFERROR(__xludf.DUMMYFUNCTION("GOOGLETRANSLATE(B190, ""en"", ""pt"")"),"Bigorna")</f>
        <v>Bigorna</v>
      </c>
      <c r="H190" s="24" t="str">
        <f ca="1">IFERROR(__xludf.DUMMYFUNCTION("GOOGLETRANSLATE(B190, ""en"", ""de"")"),"Amboss")</f>
        <v>Amboss</v>
      </c>
      <c r="I190" s="23" t="str">
        <f ca="1">IFERROR(__xludf.DUMMYFUNCTION("GOOGLETRANSLATE(B190, ""en"", ""pl"")"),"Kowadło")</f>
        <v>Kowadło</v>
      </c>
      <c r="J190" s="25" t="str">
        <f ca="1">IFERROR(__xludf.DUMMYFUNCTION("GOOGLETRANSLATE(B190, ""en"", ""zh"")"),"砧")</f>
        <v>砧</v>
      </c>
      <c r="K190" s="25" t="str">
        <f ca="1">IFERROR(__xludf.DUMMYFUNCTION("GOOGLETRANSLATE(B190, ""en"", ""vi"")"),"Anvil.")</f>
        <v>Anvil.</v>
      </c>
      <c r="L190" s="26" t="str">
        <f ca="1">IFERROR(__xludf.DUMMYFUNCTION("GOOGLETRANSLATE(B190, ""en"", ""hr"")"),"Nakovanj")</f>
        <v>Nakovanj</v>
      </c>
      <c r="M190" s="28"/>
      <c r="N190" s="28"/>
      <c r="O190" s="28"/>
      <c r="P190" s="28"/>
      <c r="Q190" s="28"/>
      <c r="R190" s="28"/>
      <c r="S190" s="28"/>
      <c r="T190" s="28"/>
      <c r="U190" s="28"/>
      <c r="V190" s="28"/>
      <c r="W190" s="28"/>
      <c r="X190" s="28"/>
      <c r="Y190" s="28"/>
      <c r="Z190" s="28"/>
      <c r="AA190" s="28"/>
      <c r="AB190" s="28"/>
    </row>
    <row r="191" spans="1:28" ht="14" x14ac:dyDescent="0.15">
      <c r="A191" s="21" t="s">
        <v>376</v>
      </c>
      <c r="B191" s="22" t="s">
        <v>376</v>
      </c>
      <c r="C191" s="23" t="str">
        <f ca="1">IFERROR(__xludf.DUMMYFUNCTION("GOOGLETRANSLATE(B191, ""en"", ""fr"")"),"fourneau")</f>
        <v>fourneau</v>
      </c>
      <c r="D191" s="23" t="str">
        <f ca="1">IFERROR(__xludf.DUMMYFUNCTION("GOOGLETRANSLATE(B191, ""en"", ""es"")"),"Horno")</f>
        <v>Horno</v>
      </c>
      <c r="E191" s="23" t="str">
        <f ca="1">IFERROR(__xludf.DUMMYFUNCTION("GOOGLETRANSLATE(B191, ""en"", ""ru"")"),"Печь")</f>
        <v>Печь</v>
      </c>
      <c r="F191" s="23" t="str">
        <f ca="1">IFERROR(__xludf.DUMMYFUNCTION("GOOGLETRANSLATE(B191, ""en"", ""tr"")"),"Fırın")</f>
        <v>Fırın</v>
      </c>
      <c r="G191" s="23" t="str">
        <f ca="1">IFERROR(__xludf.DUMMYFUNCTION("GOOGLETRANSLATE(B191, ""en"", ""pt"")"),"Forno")</f>
        <v>Forno</v>
      </c>
      <c r="H191" s="24" t="str">
        <f ca="1">IFERROR(__xludf.DUMMYFUNCTION("GOOGLETRANSLATE(B191, ""en"", ""de"")"),"Ofen")</f>
        <v>Ofen</v>
      </c>
      <c r="I191" s="23" t="str">
        <f ca="1">IFERROR(__xludf.DUMMYFUNCTION("GOOGLETRANSLATE(B191, ""en"", ""pl"")"),"Piec")</f>
        <v>Piec</v>
      </c>
      <c r="J191" s="25" t="str">
        <f ca="1">IFERROR(__xludf.DUMMYFUNCTION("GOOGLETRANSLATE(B191, ""en"", ""zh"")"),"炉")</f>
        <v>炉</v>
      </c>
      <c r="K191" s="25" t="str">
        <f ca="1">IFERROR(__xludf.DUMMYFUNCTION("GOOGLETRANSLATE(B191, ""en"", ""vi"")"),"Lò lửa")</f>
        <v>Lò lửa</v>
      </c>
      <c r="L191" s="26" t="str">
        <f ca="1">IFERROR(__xludf.DUMMYFUNCTION("GOOGLETRANSLATE(B191, ""en"", ""hr"")"),"Peć")</f>
        <v>Peć</v>
      </c>
      <c r="M191" s="28"/>
      <c r="N191" s="28"/>
      <c r="O191" s="28"/>
      <c r="P191" s="28"/>
      <c r="Q191" s="28"/>
      <c r="R191" s="28"/>
      <c r="S191" s="28"/>
      <c r="T191" s="28"/>
      <c r="U191" s="28"/>
      <c r="V191" s="28"/>
      <c r="W191" s="28"/>
      <c r="X191" s="28"/>
      <c r="Y191" s="28"/>
      <c r="Z191" s="28"/>
      <c r="AA191" s="28"/>
      <c r="AB191" s="28"/>
    </row>
    <row r="192" spans="1:28" ht="14" x14ac:dyDescent="0.15">
      <c r="A192" s="21" t="s">
        <v>377</v>
      </c>
      <c r="B192" s="22" t="s">
        <v>377</v>
      </c>
      <c r="C192" s="23" t="str">
        <f ca="1">IFERROR(__xludf.DUMMYFUNCTION("GOOGLETRANSLATE(B192, ""en"", ""fr"")"),"Laboratoire")</f>
        <v>Laboratoire</v>
      </c>
      <c r="D192" s="23" t="str">
        <f ca="1">IFERROR(__xludf.DUMMYFUNCTION("GOOGLETRANSLATE(B192, ""en"", ""es"")"),"Laboratorio")</f>
        <v>Laboratorio</v>
      </c>
      <c r="E192" s="23" t="str">
        <f ca="1">IFERROR(__xludf.DUMMYFUNCTION("GOOGLETRANSLATE(B192, ""en"", ""ru"")"),"Лаборатория")</f>
        <v>Лаборатория</v>
      </c>
      <c r="F192" s="23" t="str">
        <f ca="1">IFERROR(__xludf.DUMMYFUNCTION("GOOGLETRANSLATE(B192, ""en"", ""tr"")"),"Laboratuvar")</f>
        <v>Laboratuvar</v>
      </c>
      <c r="G192" s="23" t="str">
        <f ca="1">IFERROR(__xludf.DUMMYFUNCTION("GOOGLETRANSLATE(B192, ""en"", ""pt"")"),"Laboratório")</f>
        <v>Laboratório</v>
      </c>
      <c r="H192" s="24" t="str">
        <f ca="1">IFERROR(__xludf.DUMMYFUNCTION("GOOGLETRANSLATE(B192, ""en"", ""de"")"),"Labor")</f>
        <v>Labor</v>
      </c>
      <c r="I192" s="23" t="str">
        <f ca="1">IFERROR(__xludf.DUMMYFUNCTION("GOOGLETRANSLATE(B192, ""en"", ""pl"")"),"Laboratorium")</f>
        <v>Laboratorium</v>
      </c>
      <c r="J192" s="25" t="str">
        <f ca="1">IFERROR(__xludf.DUMMYFUNCTION("GOOGLETRANSLATE(B192, ""en"", ""zh"")"),"实验室")</f>
        <v>实验室</v>
      </c>
      <c r="K192" s="25" t="str">
        <f ca="1">IFERROR(__xludf.DUMMYFUNCTION("GOOGLETRANSLATE(B192, ""en"", ""vi"")"),"Phòng thí nghiệm")</f>
        <v>Phòng thí nghiệm</v>
      </c>
      <c r="L192" s="26" t="str">
        <f ca="1">IFERROR(__xludf.DUMMYFUNCTION("GOOGLETRANSLATE(B192, ""en"", ""hr"")"),"Laboratorija")</f>
        <v>Laboratorija</v>
      </c>
      <c r="M192" s="28"/>
      <c r="N192" s="28"/>
      <c r="O192" s="28"/>
      <c r="P192" s="28"/>
      <c r="Q192" s="28"/>
      <c r="R192" s="28"/>
      <c r="S192" s="28"/>
      <c r="T192" s="28"/>
      <c r="U192" s="28"/>
      <c r="V192" s="28"/>
      <c r="W192" s="28"/>
      <c r="X192" s="28"/>
      <c r="Y192" s="28"/>
      <c r="Z192" s="28"/>
      <c r="AA192" s="28"/>
      <c r="AB192" s="28"/>
    </row>
    <row r="193" spans="1:28" ht="14" x14ac:dyDescent="0.15">
      <c r="A193" s="21" t="s">
        <v>378</v>
      </c>
      <c r="B193" s="22" t="s">
        <v>378</v>
      </c>
      <c r="C193" s="23" t="str">
        <f ca="1">IFERROR(__xludf.DUMMYFUNCTION("GOOGLETRANSLATE(B193, ""en"", ""fr"")"),"Table de travail")</f>
        <v>Table de travail</v>
      </c>
      <c r="D193" s="23" t="str">
        <f ca="1">IFERROR(__xludf.DUMMYFUNCTION("GOOGLETRANSLATE(B193, ""en"", ""es"")"),"Banco de trabajo")</f>
        <v>Banco de trabajo</v>
      </c>
      <c r="E193" s="23" t="str">
        <f ca="1">IFERROR(__xludf.DUMMYFUNCTION("GOOGLETRANSLATE(B193, ""en"", ""ru"")"),"Workbench.")</f>
        <v>Workbench.</v>
      </c>
      <c r="F193" s="23" t="str">
        <f ca="1">IFERROR(__xludf.DUMMYFUNCTION("GOOGLETRANSLATE(B193, ""en"", ""tr"")"),"Tezgâh")</f>
        <v>Tezgâh</v>
      </c>
      <c r="G193" s="23" t="str">
        <f ca="1">IFERROR(__xludf.DUMMYFUNCTION("GOOGLETRANSLATE(B193, ""en"", ""pt"")"),"Workbench")</f>
        <v>Workbench</v>
      </c>
      <c r="H193" s="24" t="str">
        <f ca="1">IFERROR(__xludf.DUMMYFUNCTION("GOOGLETRANSLATE(B193, ""en"", ""de"")"),"Werkbank")</f>
        <v>Werkbank</v>
      </c>
      <c r="I193" s="23" t="str">
        <f ca="1">IFERROR(__xludf.DUMMYFUNCTION("GOOGLETRANSLATE(B193, ""en"", ""pl"")"),"stoł warsztatowy")</f>
        <v>stoł warsztatowy</v>
      </c>
      <c r="J193" s="25" t="str">
        <f ca="1">IFERROR(__xludf.DUMMYFUNCTION("GOOGLETRANSLATE(B193, ""en"", ""zh"")"),"工作台")</f>
        <v>工作台</v>
      </c>
      <c r="K193" s="25" t="str">
        <f ca="1">IFERROR(__xludf.DUMMYFUNCTION("GOOGLETRANSLATE(B193, ""en"", ""vi"")"),"Workbench.")</f>
        <v>Workbench.</v>
      </c>
      <c r="L193" s="26" t="str">
        <f ca="1">IFERROR(__xludf.DUMMYFUNCTION("GOOGLETRANSLATE(B193, ""en"", ""hr"")"),"Radni stol")</f>
        <v>Radni stol</v>
      </c>
      <c r="M193" s="28"/>
      <c r="N193" s="28"/>
      <c r="O193" s="28"/>
      <c r="P193" s="28"/>
      <c r="Q193" s="28"/>
      <c r="R193" s="28"/>
      <c r="S193" s="28"/>
      <c r="T193" s="28"/>
      <c r="U193" s="28"/>
      <c r="V193" s="28"/>
      <c r="W193" s="28"/>
      <c r="X193" s="28"/>
      <c r="Y193" s="28"/>
      <c r="Z193" s="28"/>
      <c r="AA193" s="28"/>
      <c r="AB193" s="28"/>
    </row>
    <row r="194" spans="1:28" ht="14" x14ac:dyDescent="0.15">
      <c r="A194" s="21" t="s">
        <v>379</v>
      </c>
      <c r="B194" s="22" t="s">
        <v>379</v>
      </c>
      <c r="C194" s="23" t="str">
        <f ca="1">IFERROR(__xludf.DUMMYFUNCTION("GOOGLETRANSLATE(B194, ""en"", ""fr"")"),"Autel de gloire")</f>
        <v>Autel de gloire</v>
      </c>
      <c r="D194" s="23" t="str">
        <f ca="1">IFERROR(__xludf.DUMMYFUNCTION("GOOGLETRANSLATE(B194, ""en"", ""es"")"),"Altar de la gloria")</f>
        <v>Altar de la gloria</v>
      </c>
      <c r="E194" s="23" t="str">
        <f ca="1">IFERROR(__xludf.DUMMYFUNCTION("GOOGLETRANSLATE(B194, ""en"", ""ru"")"),"Слава Алтарь")</f>
        <v>Слава Алтарь</v>
      </c>
      <c r="F194" s="23" t="str">
        <f ca="1">IFERROR(__xludf.DUMMYFUNCTION("GOOGLETRANSLATE(B194, ""en"", ""tr"")"),"Zafer sunak")</f>
        <v>Zafer sunak</v>
      </c>
      <c r="G194" s="23" t="str">
        <f ca="1">IFERROR(__xludf.DUMMYFUNCTION("GOOGLETRANSLATE(B194, ""en"", ""pt"")"),"Glory Altar.")</f>
        <v>Glory Altar.</v>
      </c>
      <c r="H194" s="24" t="str">
        <f ca="1">IFERROR(__xludf.DUMMYFUNCTION("GOOGLETRANSLATE(B194, ""en"", ""de"")"),"Gloryaltar.")</f>
        <v>Gloryaltar.</v>
      </c>
      <c r="I194" s="23" t="str">
        <f ca="1">IFERROR(__xludf.DUMMYFUNCTION("GOOGLETRANSLATE(B194, ""en"", ""pl"")"),"Ołtarz chwały")</f>
        <v>Ołtarz chwały</v>
      </c>
      <c r="J194" s="25" t="str">
        <f ca="1">IFERROR(__xludf.DUMMYFUNCTION("GOOGLETRANSLATE(B194, ""en"", ""zh"")"),"荣耀祭坛")</f>
        <v>荣耀祭坛</v>
      </c>
      <c r="K194" s="25" t="str">
        <f ca="1">IFERROR(__xludf.DUMMYFUNCTION("GOOGLETRANSLATE(B194, ""en"", ""vi"")"),"Glory Altar.")</f>
        <v>Glory Altar.</v>
      </c>
      <c r="L194" s="26" t="str">
        <f ca="1">IFERROR(__xludf.DUMMYFUNCTION("GOOGLETRANSLATE(B194, ""en"", ""hr"")"),"Oltara")</f>
        <v>Oltara</v>
      </c>
      <c r="M194" s="28"/>
      <c r="N194" s="28"/>
      <c r="O194" s="28"/>
      <c r="P194" s="28"/>
      <c r="Q194" s="28"/>
      <c r="R194" s="28"/>
      <c r="S194" s="28"/>
      <c r="T194" s="28"/>
      <c r="U194" s="28"/>
      <c r="V194" s="28"/>
      <c r="W194" s="28"/>
      <c r="X194" s="28"/>
      <c r="Y194" s="28"/>
      <c r="Z194" s="28"/>
      <c r="AA194" s="28"/>
      <c r="AB194" s="28"/>
    </row>
    <row r="195" spans="1:28" ht="28" x14ac:dyDescent="0.15">
      <c r="A195" s="21" t="s">
        <v>380</v>
      </c>
      <c r="B195" s="22" t="s">
        <v>381</v>
      </c>
      <c r="C195" s="23" t="str">
        <f ca="1">IFERROR(__xludf.DUMMYFUNCTION("GOOGLETRANSLATE(B195, ""en"", ""fr"")"),"Votre inventaire est plein.")</f>
        <v>Votre inventaire est plein.</v>
      </c>
      <c r="D195" s="23" t="str">
        <f ca="1">IFERROR(__xludf.DUMMYFUNCTION("GOOGLETRANSLATE(B195, ""en"", ""es"")"),"Tu inventario está lleno.")</f>
        <v>Tu inventario está lleno.</v>
      </c>
      <c r="E195" s="23" t="str">
        <f ca="1">IFERROR(__xludf.DUMMYFUNCTION("GOOGLETRANSLATE(B195, ""en"", ""ru"")"),"Ваш инвентарь заполнен.")</f>
        <v>Ваш инвентарь заполнен.</v>
      </c>
      <c r="F195" s="23" t="str">
        <f ca="1">IFERROR(__xludf.DUMMYFUNCTION("GOOGLETRANSLATE(B195, ""en"", ""tr"")"),"Envanterin dolu.")</f>
        <v>Envanterin dolu.</v>
      </c>
      <c r="G195" s="23" t="str">
        <f ca="1">IFERROR(__xludf.DUMMYFUNCTION("GOOGLETRANSLATE(B195, ""en"", ""pt"")"),"Seu inventário está cheio.")</f>
        <v>Seu inventário está cheio.</v>
      </c>
      <c r="H195" s="24" t="str">
        <f ca="1">IFERROR(__xludf.DUMMYFUNCTION("GOOGLETRANSLATE(B195, ""en"", ""de"")"),"Dein Inventar ist voll.")</f>
        <v>Dein Inventar ist voll.</v>
      </c>
      <c r="I195" s="23" t="str">
        <f ca="1">IFERROR(__xludf.DUMMYFUNCTION("GOOGLETRANSLATE(B195, ""en"", ""pl"")"),"Twój inwentaryzacja jest pełna.")</f>
        <v>Twój inwentaryzacja jest pełna.</v>
      </c>
      <c r="J195" s="25" t="str">
        <f ca="1">IFERROR(__xludf.DUMMYFUNCTION("GOOGLETRANSLATE(B195, ""en"", ""zh"")"),"您的库存已满。")</f>
        <v>您的库存已满。</v>
      </c>
      <c r="K195" s="25" t="str">
        <f ca="1">IFERROR(__xludf.DUMMYFUNCTION("GOOGLETRANSLATE(B195, ""en"", ""vi"")"),"Hàng tồn kho của bạn đã đầy.")</f>
        <v>Hàng tồn kho của bạn đã đầy.</v>
      </c>
      <c r="L195" s="26" t="str">
        <f ca="1">IFERROR(__xludf.DUMMYFUNCTION("GOOGLETRANSLATE(B195, ""en"", ""hr"")"),"Vaš inventar je pun.")</f>
        <v>Vaš inventar je pun.</v>
      </c>
      <c r="M195" s="28"/>
      <c r="N195" s="28"/>
      <c r="O195" s="28"/>
      <c r="P195" s="28"/>
      <c r="Q195" s="28"/>
      <c r="R195" s="28"/>
      <c r="S195" s="28"/>
      <c r="T195" s="28"/>
      <c r="U195" s="28"/>
      <c r="V195" s="28"/>
      <c r="W195" s="28"/>
      <c r="X195" s="28"/>
      <c r="Y195" s="28"/>
      <c r="Z195" s="28"/>
      <c r="AA195" s="28"/>
      <c r="AB195" s="28"/>
    </row>
    <row r="196" spans="1:28" ht="70" x14ac:dyDescent="0.15">
      <c r="A196" s="21" t="s">
        <v>382</v>
      </c>
      <c r="B196" s="22" t="s">
        <v>383</v>
      </c>
      <c r="C196" s="23" t="str">
        <f ca="1">IFERROR(__xludf.DUMMYFUNCTION("GOOGLETRANSLATE(B196, ""en"", ""fr"")"),"Vous ne pouvez pas laisser tomber cet article ici.
Il y a quelque chose dans le chemin.")</f>
        <v>Vous ne pouvez pas laisser tomber cet article ici.
Il y a quelque chose dans le chemin.</v>
      </c>
      <c r="D196" s="23" t="str">
        <f ca="1">IFERROR(__xludf.DUMMYFUNCTION("GOOGLETRANSLATE(B196, ""en"", ""es"")"),"No puedes dejar caer ese artículo aquí.
Hay algo en el camino.")</f>
        <v>No puedes dejar caer ese artículo aquí.
Hay algo en el camino.</v>
      </c>
      <c r="E196" s="23" t="str">
        <f ca="1">IFERROR(__xludf.DUMMYFUNCTION("GOOGLETRANSLATE(B196, ""en"", ""ru"")"),"Вы не можете бросить этот предмет здесь.
Есть что-то в пути.")</f>
        <v>Вы не можете бросить этот предмет здесь.
Есть что-то в пути.</v>
      </c>
      <c r="F196" s="23" t="str">
        <f ca="1">IFERROR(__xludf.DUMMYFUNCTION("GOOGLETRANSLATE(B196, ""en"", ""tr"")"),"Bu öğeyi buraya bırakamazsın.
Yolda bir şey var.")</f>
        <v>Bu öğeyi buraya bırakamazsın.
Yolda bir şey var.</v>
      </c>
      <c r="G196" s="23" t="str">
        <f ca="1">IFERROR(__xludf.DUMMYFUNCTION("GOOGLETRANSLATE(B196, ""en"", ""pt"")"),"Você não pode deixar cair esse item aqui.
Há algo no caminho.")</f>
        <v>Você não pode deixar cair esse item aqui.
Há algo no caminho.</v>
      </c>
      <c r="H196" s="24" t="str">
        <f ca="1">IFERROR(__xludf.DUMMYFUNCTION("GOOGLETRANSLATE(B196, ""en"", ""de"")"),"Sie können diesen Artikel nicht hier fallen lassen.
Es gibt etwas im Weg.")</f>
        <v>Sie können diesen Artikel nicht hier fallen lassen.
Es gibt etwas im Weg.</v>
      </c>
      <c r="I196" s="23" t="str">
        <f ca="1">IFERROR(__xludf.DUMMYFUNCTION("GOOGLETRANSLATE(B196, ""en"", ""pl"")"),"Nie możesz tu upuścić tego przedmiotu.
Jest coś na drodze.")</f>
        <v>Nie możesz tu upuścić tego przedmiotu.
Jest coś na drodze.</v>
      </c>
      <c r="J196" s="25" t="str">
        <f ca="1">IFERROR(__xludf.DUMMYFUNCTION("GOOGLETRANSLATE(B196, ""en"", ""zh"")"),"你不能把那个物品放在这里。
途中有一些东西。")</f>
        <v>你不能把那个物品放在这里。
途中有一些东西。</v>
      </c>
      <c r="K196" s="25" t="str">
        <f ca="1">IFERROR(__xludf.DUMMYFUNCTION("GOOGLETRANSLATE(B196, ""en"", ""vi"")"),"Bạn không thể bỏ mục đó ở đây.
Có một cái gì đó trên đường.")</f>
        <v>Bạn không thể bỏ mục đó ở đây.
Có một cái gì đó trên đường.</v>
      </c>
      <c r="L196" s="26" t="str">
        <f ca="1">IFERROR(__xludf.DUMMYFUNCTION("GOOGLETRANSLATE(B196, ""en"", ""hr"")"),"Ne možete ispustiti tu stavku ovdje.
Postoji nešto na putu.")</f>
        <v>Ne možete ispustiti tu stavku ovdje.
Postoji nešto na putu.</v>
      </c>
      <c r="M196" s="28"/>
      <c r="N196" s="28"/>
      <c r="O196" s="28"/>
      <c r="P196" s="28"/>
      <c r="Q196" s="28"/>
      <c r="R196" s="28"/>
      <c r="S196" s="28"/>
      <c r="T196" s="28"/>
      <c r="U196" s="28"/>
      <c r="V196" s="28"/>
      <c r="W196" s="28"/>
      <c r="X196" s="28"/>
      <c r="Y196" s="28"/>
      <c r="Z196" s="28"/>
      <c r="AA196" s="28"/>
      <c r="AB196" s="28"/>
    </row>
    <row r="197" spans="1:28" ht="14" x14ac:dyDescent="0.15">
      <c r="A197" s="21" t="s">
        <v>1140</v>
      </c>
      <c r="B197" s="22" t="s">
        <v>1140</v>
      </c>
      <c r="C197" s="23"/>
      <c r="D197" s="23"/>
      <c r="E197" s="30"/>
      <c r="F197" s="23"/>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spans="1:28" ht="14" x14ac:dyDescent="0.15">
      <c r="A198" s="34" t="s">
        <v>1141</v>
      </c>
      <c r="B198" s="35" t="s">
        <v>1143</v>
      </c>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spans="1:28" ht="42" x14ac:dyDescent="0.15">
      <c r="A199" s="34" t="s">
        <v>1142</v>
      </c>
      <c r="B199" s="35" t="s">
        <v>1144</v>
      </c>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spans="1:28" ht="13" x14ac:dyDescent="0.15">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spans="1:28" ht="13" x14ac:dyDescent="0.15">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spans="1:28" ht="13" x14ac:dyDescent="0.15">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spans="1:28" ht="13" x14ac:dyDescent="0.15">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spans="1:28" ht="13" x14ac:dyDescent="0.15">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spans="1:28" ht="13" x14ac:dyDescent="0.1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spans="1:28" ht="13" x14ac:dyDescent="0.15">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spans="1:28" ht="13" x14ac:dyDescent="0.15">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spans="1:28" ht="13" x14ac:dyDescent="0.15">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spans="1:28" ht="13" x14ac:dyDescent="0.15">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spans="1:28" ht="13" x14ac:dyDescent="0.15">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spans="1:28" ht="13" x14ac:dyDescent="0.15">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spans="1:28" ht="13" x14ac:dyDescent="0.15">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spans="1:28" ht="13" x14ac:dyDescent="0.15">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spans="1:28" ht="13" x14ac:dyDescent="0.15">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spans="1:28" ht="13" x14ac:dyDescent="0.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spans="1:28" ht="13" x14ac:dyDescent="0.15">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spans="1:28" ht="13" x14ac:dyDescent="0.15">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spans="1:28" ht="13" x14ac:dyDescent="0.15">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spans="1:28" ht="13" x14ac:dyDescent="0.15">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spans="1:28" ht="13" x14ac:dyDescent="0.15">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spans="1:28" ht="13" x14ac:dyDescent="0.15">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spans="1:28" ht="13" x14ac:dyDescent="0.15">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spans="1:28" ht="13" x14ac:dyDescent="0.15">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spans="1:28" ht="13" x14ac:dyDescent="0.15">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spans="1:28" ht="13" x14ac:dyDescent="0.1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spans="1:28" ht="13" x14ac:dyDescent="0.15">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spans="1:28" ht="13" x14ac:dyDescent="0.15">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spans="1:28" ht="13" x14ac:dyDescent="0.15">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spans="1:28" ht="13" x14ac:dyDescent="0.15">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spans="1:28" ht="13" x14ac:dyDescent="0.15">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spans="1:28" ht="13" x14ac:dyDescent="0.15">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spans="1:28" ht="13" x14ac:dyDescent="0.15">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spans="1:28" ht="13" x14ac:dyDescent="0.15">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spans="1:28" ht="13" x14ac:dyDescent="0.15">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spans="1:28" ht="13" x14ac:dyDescent="0.1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spans="1:28" ht="13" x14ac:dyDescent="0.15">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spans="1:28" ht="13" x14ac:dyDescent="0.15">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spans="1:28" ht="13" x14ac:dyDescent="0.15">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spans="1:28" ht="13" x14ac:dyDescent="0.15">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spans="1:28" ht="13" x14ac:dyDescent="0.15">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spans="1:28" ht="13" x14ac:dyDescent="0.15">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spans="1:28" ht="13" x14ac:dyDescent="0.15">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spans="1:28" ht="13" x14ac:dyDescent="0.15">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spans="1:28" ht="13" x14ac:dyDescent="0.15">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spans="1:28" ht="13" x14ac:dyDescent="0.1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spans="1:28" ht="13" x14ac:dyDescent="0.15">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spans="1:28" ht="13" x14ac:dyDescent="0.15">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spans="1:28" ht="13" x14ac:dyDescent="0.15">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spans="1:28" ht="13" x14ac:dyDescent="0.15">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spans="1:28" ht="13" x14ac:dyDescent="0.15">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spans="1:28" ht="13" x14ac:dyDescent="0.15">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spans="1:28" ht="13" x14ac:dyDescent="0.15">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spans="1:28" ht="13" x14ac:dyDescent="0.15">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spans="1:28" ht="13" x14ac:dyDescent="0.15">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spans="1:28" ht="13" x14ac:dyDescent="0.1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spans="1:28" ht="13" x14ac:dyDescent="0.15">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spans="1:28" ht="13" x14ac:dyDescent="0.15">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spans="1:28" ht="13" x14ac:dyDescent="0.15">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spans="1:28" ht="13" x14ac:dyDescent="0.15">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spans="1:28" ht="13" x14ac:dyDescent="0.15">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spans="1:28" ht="13" x14ac:dyDescent="0.15">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spans="1:28" ht="13" x14ac:dyDescent="0.15">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spans="1:28" ht="13" x14ac:dyDescent="0.15">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spans="1:28" ht="13" x14ac:dyDescent="0.15">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spans="1:28" ht="13" x14ac:dyDescent="0.1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spans="1:28" ht="13" x14ac:dyDescent="0.15">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spans="1:28" ht="13" x14ac:dyDescent="0.15">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spans="1:28" ht="13" x14ac:dyDescent="0.15">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spans="1:28" ht="13" x14ac:dyDescent="0.15">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spans="1:28" ht="13" x14ac:dyDescent="0.15">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spans="1:28" ht="13" x14ac:dyDescent="0.15">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spans="1:28" ht="13" x14ac:dyDescent="0.15">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spans="1:28" ht="13" x14ac:dyDescent="0.15">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spans="1:28" ht="13" x14ac:dyDescent="0.15">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spans="1:28" ht="13" x14ac:dyDescent="0.1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spans="1:28" ht="13" x14ac:dyDescent="0.15">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spans="1:28" ht="13" x14ac:dyDescent="0.15">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spans="1:28" ht="13" x14ac:dyDescent="0.15">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spans="1:28" ht="13" x14ac:dyDescent="0.15">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spans="1:28" ht="13" x14ac:dyDescent="0.15">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spans="1:28" ht="13" x14ac:dyDescent="0.15">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spans="1:28" ht="13" x14ac:dyDescent="0.15">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spans="1:28" ht="13" x14ac:dyDescent="0.15">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spans="1:28" ht="13" x14ac:dyDescent="0.15">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spans="1:28" ht="13" x14ac:dyDescent="0.1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spans="1:28" ht="13" x14ac:dyDescent="0.15">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spans="1:28" ht="13" x14ac:dyDescent="0.15">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spans="1:28" ht="13" x14ac:dyDescent="0.15">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spans="1:28" ht="13" x14ac:dyDescent="0.15">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spans="1:28" ht="13" x14ac:dyDescent="0.15">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spans="1:28" ht="13" x14ac:dyDescent="0.15">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spans="1:28" ht="13" x14ac:dyDescent="0.15">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spans="1:28" ht="13" x14ac:dyDescent="0.15">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spans="1:28" ht="13" x14ac:dyDescent="0.15">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spans="1:28" ht="13" x14ac:dyDescent="0.1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spans="1:28" ht="13" x14ac:dyDescent="0.15">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spans="1:28" ht="13" x14ac:dyDescent="0.15">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spans="1:28" ht="13" x14ac:dyDescent="0.15">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spans="1:28" ht="13" x14ac:dyDescent="0.15">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spans="1:28" ht="13" x14ac:dyDescent="0.15">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spans="1:28" ht="13" x14ac:dyDescent="0.15">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spans="1:28" ht="13" x14ac:dyDescent="0.15">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spans="1:28" ht="13" x14ac:dyDescent="0.15">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spans="1:28" ht="13" x14ac:dyDescent="0.15">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spans="1:28" ht="13" x14ac:dyDescent="0.1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spans="1:28" ht="13" x14ac:dyDescent="0.15">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spans="1:28" ht="13" x14ac:dyDescent="0.15">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spans="1:28" ht="13" x14ac:dyDescent="0.15">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spans="1:28" ht="13" x14ac:dyDescent="0.15">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spans="1:28" ht="13" x14ac:dyDescent="0.15">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spans="1:28" ht="13" x14ac:dyDescent="0.15">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spans="1:28" ht="13" x14ac:dyDescent="0.15">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spans="1:28" ht="13" x14ac:dyDescent="0.15">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spans="1:28" ht="13" x14ac:dyDescent="0.15">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spans="1:28" ht="13" x14ac:dyDescent="0.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spans="1:28" ht="13" x14ac:dyDescent="0.15">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spans="1:28" ht="13" x14ac:dyDescent="0.15">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spans="1:28" ht="13" x14ac:dyDescent="0.15">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spans="1:28" ht="13" x14ac:dyDescent="0.15">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spans="1:28" ht="13" x14ac:dyDescent="0.15">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spans="1:28" ht="13" x14ac:dyDescent="0.15">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spans="1:28" ht="13" x14ac:dyDescent="0.15">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spans="1:28" ht="13" x14ac:dyDescent="0.15">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spans="1:28" ht="13" x14ac:dyDescent="0.15">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spans="1:28" ht="13" x14ac:dyDescent="0.1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spans="1:28" ht="13" x14ac:dyDescent="0.15">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spans="1:28" ht="13" x14ac:dyDescent="0.15">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spans="1:28" ht="13" x14ac:dyDescent="0.15">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spans="1:28" ht="13" x14ac:dyDescent="0.15">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spans="1:28" ht="13" x14ac:dyDescent="0.15">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spans="1:28" ht="13" x14ac:dyDescent="0.15">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spans="1:28" ht="13" x14ac:dyDescent="0.15">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spans="1:28" ht="13" x14ac:dyDescent="0.15">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spans="1:28" ht="13" x14ac:dyDescent="0.15">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spans="1:28" ht="13" x14ac:dyDescent="0.1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spans="1:28" ht="13" x14ac:dyDescent="0.15">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spans="1:28" ht="13" x14ac:dyDescent="0.15">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spans="1:28" ht="13" x14ac:dyDescent="0.15">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spans="1:28" ht="13" x14ac:dyDescent="0.15">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spans="1:28" ht="13" x14ac:dyDescent="0.15">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spans="1:28" ht="13" x14ac:dyDescent="0.15">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spans="1:28" ht="13" x14ac:dyDescent="0.15">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spans="1:28" ht="13" x14ac:dyDescent="0.15">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spans="1:28" ht="13" x14ac:dyDescent="0.15">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spans="1:28" ht="13" x14ac:dyDescent="0.1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spans="1:28" ht="13" x14ac:dyDescent="0.15">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spans="1:28" ht="13" x14ac:dyDescent="0.15">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spans="1:28" ht="13" x14ac:dyDescent="0.15">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spans="1:28" ht="13" x14ac:dyDescent="0.15">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spans="1:28" ht="13" x14ac:dyDescent="0.15">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spans="1:28" ht="13" x14ac:dyDescent="0.15">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spans="1:28" ht="13" x14ac:dyDescent="0.15">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spans="1:28" ht="13" x14ac:dyDescent="0.15">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spans="1:28" ht="13" x14ac:dyDescent="0.15">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spans="1:28" ht="13" x14ac:dyDescent="0.1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spans="1:28" ht="13" x14ac:dyDescent="0.15">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spans="1:28" ht="13" x14ac:dyDescent="0.15">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spans="1:28" ht="13" x14ac:dyDescent="0.15">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spans="1:28" ht="13" x14ac:dyDescent="0.15">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spans="1:28" ht="13" x14ac:dyDescent="0.15">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spans="1:28" ht="13" x14ac:dyDescent="0.15">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spans="1:28" ht="13" x14ac:dyDescent="0.15">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spans="1:28" ht="13" x14ac:dyDescent="0.15">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spans="1:28" ht="13" x14ac:dyDescent="0.15">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spans="1:28" ht="13" x14ac:dyDescent="0.1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spans="1:28" ht="13" x14ac:dyDescent="0.15">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spans="1:28" ht="13" x14ac:dyDescent="0.15">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spans="1:28" ht="13" x14ac:dyDescent="0.15">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spans="1:28" ht="13" x14ac:dyDescent="0.15">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spans="1:28" ht="13" x14ac:dyDescent="0.15">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spans="1:28" ht="13" x14ac:dyDescent="0.15">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spans="1:28" ht="13" x14ac:dyDescent="0.15">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spans="1:28" ht="13" x14ac:dyDescent="0.15">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spans="1:28" ht="13" x14ac:dyDescent="0.15">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spans="1:28" ht="13" x14ac:dyDescent="0.1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spans="1:28" ht="13" x14ac:dyDescent="0.15">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spans="1:28" ht="13" x14ac:dyDescent="0.15">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spans="1:28" ht="13" x14ac:dyDescent="0.15">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spans="1:28" ht="13" x14ac:dyDescent="0.15">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spans="1:28" ht="13" x14ac:dyDescent="0.15">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spans="1:28" ht="13" x14ac:dyDescent="0.15">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spans="1:28" ht="13" x14ac:dyDescent="0.15">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spans="1:28" ht="13" x14ac:dyDescent="0.15">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spans="1:28" ht="13" x14ac:dyDescent="0.15">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spans="1:28" ht="13" x14ac:dyDescent="0.1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spans="1:28" ht="13" x14ac:dyDescent="0.15">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spans="1:28" ht="13" x14ac:dyDescent="0.15">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spans="1:28" ht="13" x14ac:dyDescent="0.15">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spans="1:28" ht="13" x14ac:dyDescent="0.15">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spans="1:28" ht="13" x14ac:dyDescent="0.15">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spans="1:28" ht="13" x14ac:dyDescent="0.15">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spans="1:28" ht="13" x14ac:dyDescent="0.15">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spans="1:28" ht="13" x14ac:dyDescent="0.15">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spans="1:28" ht="13" x14ac:dyDescent="0.15">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spans="1:28" ht="13" x14ac:dyDescent="0.1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spans="1:28" ht="13" x14ac:dyDescent="0.15">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spans="1:28" ht="13" x14ac:dyDescent="0.15">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spans="1:28" ht="13" x14ac:dyDescent="0.15">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spans="1:28" ht="13" x14ac:dyDescent="0.15">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spans="1:28" ht="13" x14ac:dyDescent="0.15">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spans="1:28" ht="13" x14ac:dyDescent="0.15">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spans="1:28" ht="13" x14ac:dyDescent="0.15">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spans="1:28" ht="13" x14ac:dyDescent="0.15">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spans="1:28" ht="13" x14ac:dyDescent="0.15">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spans="1:28" ht="13" x14ac:dyDescent="0.1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spans="1:28" ht="13" x14ac:dyDescent="0.15">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spans="1:28" ht="13" x14ac:dyDescent="0.15">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spans="1:28" ht="13" x14ac:dyDescent="0.15">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spans="1:28" ht="13" x14ac:dyDescent="0.15">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spans="1:28" ht="13" x14ac:dyDescent="0.15">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spans="1:28" ht="13" x14ac:dyDescent="0.15">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spans="1:28" ht="13" x14ac:dyDescent="0.15">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spans="1:28" ht="13" x14ac:dyDescent="0.15">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spans="1:28" ht="13" x14ac:dyDescent="0.15">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spans="1:28" ht="13" x14ac:dyDescent="0.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spans="1:28" ht="13" x14ac:dyDescent="0.15">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spans="1:28" ht="13" x14ac:dyDescent="0.15">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spans="1:28" ht="13" x14ac:dyDescent="0.15">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spans="1:28" ht="13" x14ac:dyDescent="0.15">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spans="1:28" ht="13" x14ac:dyDescent="0.15">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spans="1:28" ht="13" x14ac:dyDescent="0.15">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spans="1:28" ht="13" x14ac:dyDescent="0.15">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spans="1:28" ht="13" x14ac:dyDescent="0.15">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spans="1:28" ht="13" x14ac:dyDescent="0.15">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spans="1:28" ht="13" x14ac:dyDescent="0.1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spans="1:28" ht="13" x14ac:dyDescent="0.15">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spans="1:28" ht="13" x14ac:dyDescent="0.15">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spans="1:28" ht="13" x14ac:dyDescent="0.15">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spans="1:28" ht="13" x14ac:dyDescent="0.15">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spans="1:28" ht="13" x14ac:dyDescent="0.15">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spans="1:28" ht="13" x14ac:dyDescent="0.15">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spans="1:28" ht="13" x14ac:dyDescent="0.15">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spans="1:28" ht="13" x14ac:dyDescent="0.15">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spans="1:28" ht="13" x14ac:dyDescent="0.15">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spans="1:28" ht="13" x14ac:dyDescent="0.1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spans="1:28" ht="13" x14ac:dyDescent="0.15">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spans="1:28" ht="13" x14ac:dyDescent="0.15">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spans="1:28" ht="13" x14ac:dyDescent="0.15">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spans="1:28" ht="13" x14ac:dyDescent="0.15">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spans="1:28" ht="13" x14ac:dyDescent="0.15">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spans="1:28" ht="13" x14ac:dyDescent="0.15">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spans="1:28" ht="13" x14ac:dyDescent="0.15">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spans="1:28" ht="13" x14ac:dyDescent="0.15">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spans="1:28" ht="13" x14ac:dyDescent="0.15">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spans="1:28" ht="13" x14ac:dyDescent="0.1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spans="1:28" ht="13" x14ac:dyDescent="0.15">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spans="1:28" ht="13" x14ac:dyDescent="0.15">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spans="1:28" ht="13" x14ac:dyDescent="0.15">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spans="1:28" ht="13" x14ac:dyDescent="0.15">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spans="1:28" ht="13" x14ac:dyDescent="0.15">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spans="1:28" ht="13" x14ac:dyDescent="0.15">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spans="1:28" ht="13" x14ac:dyDescent="0.15">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spans="1:28" ht="13" x14ac:dyDescent="0.15">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spans="1:28" ht="13" x14ac:dyDescent="0.15">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spans="1:28" ht="13" x14ac:dyDescent="0.1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spans="1:28" ht="13" x14ac:dyDescent="0.15">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spans="1:28" ht="13" x14ac:dyDescent="0.15">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spans="1:28" ht="13" x14ac:dyDescent="0.15">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spans="1:28" ht="13" x14ac:dyDescent="0.15">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spans="1:28" ht="13" x14ac:dyDescent="0.15">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spans="1:28" ht="13" x14ac:dyDescent="0.15">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spans="1:28" ht="13" x14ac:dyDescent="0.15">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spans="1:28" ht="13" x14ac:dyDescent="0.15">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spans="1:28" ht="13" x14ac:dyDescent="0.15">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spans="1:28" ht="13" x14ac:dyDescent="0.1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spans="1:28" ht="13" x14ac:dyDescent="0.15">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spans="1:28" ht="13" x14ac:dyDescent="0.15">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spans="1:28" ht="13" x14ac:dyDescent="0.15">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spans="1:28" ht="13" x14ac:dyDescent="0.15">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spans="1:28" ht="13" x14ac:dyDescent="0.15">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spans="1:28" ht="13" x14ac:dyDescent="0.15">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spans="1:28" ht="13" x14ac:dyDescent="0.15">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spans="1:28" ht="13" x14ac:dyDescent="0.15">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spans="1:28" ht="13" x14ac:dyDescent="0.15">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spans="1:28" ht="13" x14ac:dyDescent="0.1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spans="1:28" ht="13" x14ac:dyDescent="0.15">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spans="1:28" ht="13" x14ac:dyDescent="0.15">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spans="1:28" ht="13" x14ac:dyDescent="0.15">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spans="1:28" ht="13" x14ac:dyDescent="0.15">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spans="1:28" ht="13" x14ac:dyDescent="0.15">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spans="1:28" ht="13" x14ac:dyDescent="0.15">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spans="1:28" ht="13" x14ac:dyDescent="0.15">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spans="1:28" ht="13" x14ac:dyDescent="0.15">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spans="1:28" ht="13" x14ac:dyDescent="0.15">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spans="1:28" ht="13" x14ac:dyDescent="0.1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spans="1:28" ht="13" x14ac:dyDescent="0.15">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spans="1:28" ht="13" x14ac:dyDescent="0.15">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spans="1:28" ht="13" x14ac:dyDescent="0.15">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spans="1:28" ht="13" x14ac:dyDescent="0.15">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spans="1:28" ht="13" x14ac:dyDescent="0.15">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spans="1:28" ht="13" x14ac:dyDescent="0.15">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spans="1:28" ht="13" x14ac:dyDescent="0.15">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spans="1:28" ht="13" x14ac:dyDescent="0.15">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spans="1:28" ht="13" x14ac:dyDescent="0.15">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spans="1:28" ht="13" x14ac:dyDescent="0.1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spans="1:28" ht="13" x14ac:dyDescent="0.15">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spans="1:28" ht="13" x14ac:dyDescent="0.15">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spans="1:28" ht="13" x14ac:dyDescent="0.15">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spans="1:28" ht="13" x14ac:dyDescent="0.15">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spans="1:28" ht="13" x14ac:dyDescent="0.15">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spans="1:28" ht="13" x14ac:dyDescent="0.15">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spans="1:28" ht="13" x14ac:dyDescent="0.15">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spans="1:28" ht="13" x14ac:dyDescent="0.15">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spans="1:28" ht="13" x14ac:dyDescent="0.15">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spans="1:28" ht="13" x14ac:dyDescent="0.1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spans="1:28" ht="13" x14ac:dyDescent="0.15">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spans="1:28" ht="13" x14ac:dyDescent="0.15">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spans="1:28" ht="13" x14ac:dyDescent="0.15">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spans="1:28" ht="13" x14ac:dyDescent="0.15">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spans="1:28" ht="13" x14ac:dyDescent="0.15">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spans="1:28" ht="13" x14ac:dyDescent="0.15">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spans="1:28" ht="13" x14ac:dyDescent="0.15">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spans="1:28" ht="13" x14ac:dyDescent="0.15">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spans="1:28" ht="13" x14ac:dyDescent="0.15">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spans="1:28" ht="13" x14ac:dyDescent="0.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spans="1:28" ht="13" x14ac:dyDescent="0.15">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spans="1:28" ht="13" x14ac:dyDescent="0.15">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spans="1:28" ht="13" x14ac:dyDescent="0.15">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spans="1:28" ht="13" x14ac:dyDescent="0.15">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spans="1:28" ht="13" x14ac:dyDescent="0.15">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spans="1:28" ht="13" x14ac:dyDescent="0.15">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spans="1:28" ht="13" x14ac:dyDescent="0.15">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spans="1:28" ht="13" x14ac:dyDescent="0.15">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spans="1:28" ht="13" x14ac:dyDescent="0.15">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spans="1:28" ht="13" x14ac:dyDescent="0.1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spans="1:28" ht="13" x14ac:dyDescent="0.15">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spans="1:28" ht="13" x14ac:dyDescent="0.15">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spans="1:28" ht="13" x14ac:dyDescent="0.15">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spans="1:28" ht="13" x14ac:dyDescent="0.15">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spans="1:28" ht="13" x14ac:dyDescent="0.15">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spans="1:28" ht="13" x14ac:dyDescent="0.15">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spans="1:28" ht="13" x14ac:dyDescent="0.15">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spans="1:28" ht="13" x14ac:dyDescent="0.15">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spans="1:28" ht="13" x14ac:dyDescent="0.15">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spans="1:28" ht="13" x14ac:dyDescent="0.1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spans="1:28" ht="13" x14ac:dyDescent="0.15">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spans="1:28" ht="13" x14ac:dyDescent="0.15">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spans="1:28" ht="13" x14ac:dyDescent="0.15">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spans="1:28" ht="13" x14ac:dyDescent="0.15">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spans="1:28" ht="13" x14ac:dyDescent="0.15">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spans="1:28" ht="13" x14ac:dyDescent="0.15">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spans="1:28" ht="13" x14ac:dyDescent="0.15">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spans="1:28" ht="13" x14ac:dyDescent="0.15">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spans="1:28" ht="13" x14ac:dyDescent="0.15">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spans="1:28" ht="13" x14ac:dyDescent="0.1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spans="1:28" ht="13" x14ac:dyDescent="0.15">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spans="1:28" ht="13" x14ac:dyDescent="0.15">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spans="1:28" ht="13" x14ac:dyDescent="0.15">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spans="1:28" ht="13" x14ac:dyDescent="0.15">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spans="1:28" ht="13" x14ac:dyDescent="0.15">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spans="1:28" ht="13" x14ac:dyDescent="0.15">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spans="1:28" ht="13" x14ac:dyDescent="0.15">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spans="1:28" ht="13" x14ac:dyDescent="0.15">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spans="1:28" ht="13" x14ac:dyDescent="0.15">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spans="1:28" ht="13" x14ac:dyDescent="0.1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spans="1:28" ht="13" x14ac:dyDescent="0.15">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spans="1:28" ht="13" x14ac:dyDescent="0.15">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spans="1:28" ht="13" x14ac:dyDescent="0.15">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spans="1:28" ht="13" x14ac:dyDescent="0.15">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spans="1:28" ht="13" x14ac:dyDescent="0.15">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spans="1:28" ht="13" x14ac:dyDescent="0.15">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spans="1:28" ht="13" x14ac:dyDescent="0.15">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spans="1:28" ht="13" x14ac:dyDescent="0.15">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spans="1:28" ht="13" x14ac:dyDescent="0.15">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spans="1:28" ht="13" x14ac:dyDescent="0.1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spans="1:28" ht="13" x14ac:dyDescent="0.15">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spans="1:28" ht="13" x14ac:dyDescent="0.15">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spans="1:28" ht="13" x14ac:dyDescent="0.15">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spans="1:28" ht="13" x14ac:dyDescent="0.15">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spans="1:28" ht="13" x14ac:dyDescent="0.15">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spans="1:28" ht="13" x14ac:dyDescent="0.15">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spans="1:28" ht="13" x14ac:dyDescent="0.15">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spans="1:28" ht="13" x14ac:dyDescent="0.15">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spans="1:28" ht="13" x14ac:dyDescent="0.15">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spans="1:28" ht="13" x14ac:dyDescent="0.1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spans="1:28" ht="13" x14ac:dyDescent="0.15">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spans="1:28" ht="13" x14ac:dyDescent="0.15">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spans="1:28" ht="13" x14ac:dyDescent="0.15">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spans="1:28" ht="13" x14ac:dyDescent="0.15">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spans="1:28" ht="13" x14ac:dyDescent="0.15">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spans="1:28" ht="13" x14ac:dyDescent="0.15">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spans="1:28" ht="13" x14ac:dyDescent="0.15">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spans="1:28" ht="13" x14ac:dyDescent="0.15">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spans="1:28" ht="13" x14ac:dyDescent="0.15">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spans="1:28" ht="13" x14ac:dyDescent="0.1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spans="1:28" ht="13" x14ac:dyDescent="0.15">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spans="1:28" ht="13" x14ac:dyDescent="0.15">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spans="1:28" ht="13" x14ac:dyDescent="0.15">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spans="1:28" ht="13" x14ac:dyDescent="0.15">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spans="1:28" ht="13" x14ac:dyDescent="0.15">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spans="1:28" ht="13" x14ac:dyDescent="0.15">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spans="1:28" ht="13" x14ac:dyDescent="0.15">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spans="1:28" ht="13" x14ac:dyDescent="0.15">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spans="1:28" ht="13" x14ac:dyDescent="0.15">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spans="1:28" ht="13" x14ac:dyDescent="0.1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spans="1:28" ht="13" x14ac:dyDescent="0.15">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spans="1:28" ht="13" x14ac:dyDescent="0.15">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spans="1:28" ht="13" x14ac:dyDescent="0.15">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spans="1:28" ht="13" x14ac:dyDescent="0.15">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spans="1:28" ht="13" x14ac:dyDescent="0.15">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spans="1:28" ht="13" x14ac:dyDescent="0.15">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spans="1:28" ht="13" x14ac:dyDescent="0.15">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spans="1:28" ht="13" x14ac:dyDescent="0.15">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spans="1:28" ht="13" x14ac:dyDescent="0.15">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spans="1:28" ht="13" x14ac:dyDescent="0.1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spans="1:28" ht="13" x14ac:dyDescent="0.15">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spans="1:28" ht="13" x14ac:dyDescent="0.15">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spans="1:28" ht="13" x14ac:dyDescent="0.15">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spans="1:28" ht="13" x14ac:dyDescent="0.15">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spans="1:28" ht="13" x14ac:dyDescent="0.15">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spans="1:28" ht="13" x14ac:dyDescent="0.15">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spans="1:28" ht="13" x14ac:dyDescent="0.15">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spans="1:28" ht="13" x14ac:dyDescent="0.15">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spans="1:28" ht="13" x14ac:dyDescent="0.15">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spans="1:28" ht="13" x14ac:dyDescent="0.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spans="1:28" ht="13" x14ac:dyDescent="0.15">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spans="1:28" ht="13" x14ac:dyDescent="0.15">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spans="1:28" ht="13" x14ac:dyDescent="0.15">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spans="1:28" ht="13" x14ac:dyDescent="0.15">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spans="1:28" ht="13" x14ac:dyDescent="0.15">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spans="1:28" ht="13" x14ac:dyDescent="0.15">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spans="1:28" ht="13" x14ac:dyDescent="0.15">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spans="1:28" ht="13" x14ac:dyDescent="0.15">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spans="1:28" ht="13" x14ac:dyDescent="0.15">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spans="1:28" ht="13" x14ac:dyDescent="0.1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spans="1:28" ht="13" x14ac:dyDescent="0.15">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spans="1:28" ht="13" x14ac:dyDescent="0.15">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spans="1:28" ht="13" x14ac:dyDescent="0.15">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spans="1:28" ht="13" x14ac:dyDescent="0.15">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spans="1:28" ht="13" x14ac:dyDescent="0.15">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spans="1:28" ht="13" x14ac:dyDescent="0.15">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spans="1:28" ht="13" x14ac:dyDescent="0.15">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spans="1:28" ht="13" x14ac:dyDescent="0.15">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spans="1:28" ht="13" x14ac:dyDescent="0.15">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spans="1:28" ht="13" x14ac:dyDescent="0.1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spans="1:28" ht="13" x14ac:dyDescent="0.15">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spans="1:28" ht="13" x14ac:dyDescent="0.15">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spans="1:28" ht="13" x14ac:dyDescent="0.15">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spans="1:28" ht="13" x14ac:dyDescent="0.15">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spans="1:28" ht="13" x14ac:dyDescent="0.15">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spans="1:28" ht="13" x14ac:dyDescent="0.15">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spans="1:28" ht="13" x14ac:dyDescent="0.15">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spans="1:28" ht="13" x14ac:dyDescent="0.15">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spans="1:28" ht="13" x14ac:dyDescent="0.15">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spans="1:28" ht="13" x14ac:dyDescent="0.1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spans="1:28" ht="13" x14ac:dyDescent="0.15">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spans="1:28" ht="13" x14ac:dyDescent="0.15">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spans="1:28" ht="13" x14ac:dyDescent="0.15">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spans="1:28" ht="13" x14ac:dyDescent="0.15">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spans="1:28" ht="13" x14ac:dyDescent="0.15">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spans="1:28" ht="13" x14ac:dyDescent="0.15">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spans="1:28" ht="13" x14ac:dyDescent="0.15">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spans="1:28" ht="13" x14ac:dyDescent="0.15">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spans="1:28" ht="13" x14ac:dyDescent="0.15">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spans="1:28" ht="13" x14ac:dyDescent="0.1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spans="1:28" ht="13" x14ac:dyDescent="0.15">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spans="1:28" ht="13" x14ac:dyDescent="0.15">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spans="1:28" ht="13" x14ac:dyDescent="0.15">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spans="1:28" ht="13" x14ac:dyDescent="0.15">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spans="1:28" ht="13" x14ac:dyDescent="0.15">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spans="1:28" ht="13" x14ac:dyDescent="0.15">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spans="1:28" ht="13" x14ac:dyDescent="0.15">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spans="1:28" ht="13" x14ac:dyDescent="0.15">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spans="1:28" ht="13" x14ac:dyDescent="0.15">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spans="1:28" ht="13" x14ac:dyDescent="0.1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spans="1:28" ht="13" x14ac:dyDescent="0.15">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spans="1:28" ht="13" x14ac:dyDescent="0.15">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spans="1:28" ht="13" x14ac:dyDescent="0.15">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spans="1:28" ht="13" x14ac:dyDescent="0.15">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spans="1:28" ht="13" x14ac:dyDescent="0.15">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spans="1:28" ht="13" x14ac:dyDescent="0.15">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spans="1:28" ht="13" x14ac:dyDescent="0.15">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spans="1:28" ht="13" x14ac:dyDescent="0.15">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spans="1:28" ht="13" x14ac:dyDescent="0.15">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spans="1:28" ht="13" x14ac:dyDescent="0.1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spans="1:28" ht="13" x14ac:dyDescent="0.15">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spans="1:28" ht="13" x14ac:dyDescent="0.15">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spans="1:28" ht="13" x14ac:dyDescent="0.15">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spans="1:28" ht="13" x14ac:dyDescent="0.15">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spans="1:28" ht="13" x14ac:dyDescent="0.15">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spans="1:28" ht="13" x14ac:dyDescent="0.15">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spans="1:28" ht="13" x14ac:dyDescent="0.15">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spans="1:28" ht="13" x14ac:dyDescent="0.15">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spans="1:28" ht="13" x14ac:dyDescent="0.15">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spans="1:28" ht="13" x14ac:dyDescent="0.1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spans="1:28" ht="13" x14ac:dyDescent="0.15">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spans="1:28" ht="13" x14ac:dyDescent="0.15">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spans="1:28" ht="13" x14ac:dyDescent="0.15">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spans="1:28" ht="13" x14ac:dyDescent="0.15">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spans="1:28" ht="13" x14ac:dyDescent="0.15">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spans="1:28" ht="13" x14ac:dyDescent="0.15">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spans="1:28" ht="13" x14ac:dyDescent="0.15">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spans="1:28" ht="13" x14ac:dyDescent="0.15">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spans="1:28" ht="13" x14ac:dyDescent="0.15">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spans="1:28" ht="13" x14ac:dyDescent="0.1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spans="1:28" ht="13" x14ac:dyDescent="0.15">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spans="1:28" ht="13" x14ac:dyDescent="0.15">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spans="1:28" ht="13" x14ac:dyDescent="0.15">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spans="1:28" ht="13" x14ac:dyDescent="0.15">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spans="1:28" ht="13" x14ac:dyDescent="0.15">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spans="1:28" ht="13" x14ac:dyDescent="0.15">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spans="1:28" ht="13" x14ac:dyDescent="0.15">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spans="1:28" ht="13" x14ac:dyDescent="0.15">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spans="1:28" ht="13" x14ac:dyDescent="0.15">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spans="1:28" ht="13" x14ac:dyDescent="0.1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spans="1:28" ht="13" x14ac:dyDescent="0.15">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spans="1:28" ht="13" x14ac:dyDescent="0.15">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spans="1:28" ht="13" x14ac:dyDescent="0.15">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spans="1:28" ht="13" x14ac:dyDescent="0.15">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spans="1:28" ht="13" x14ac:dyDescent="0.15">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spans="1:28" ht="13" x14ac:dyDescent="0.15">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spans="1:28" ht="13" x14ac:dyDescent="0.15">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spans="1:28" ht="13" x14ac:dyDescent="0.15">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spans="1:28" ht="13" x14ac:dyDescent="0.15">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spans="1:28" ht="13" x14ac:dyDescent="0.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spans="1:28" ht="13" x14ac:dyDescent="0.15">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spans="1:28" ht="13" x14ac:dyDescent="0.15">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spans="1:28" ht="13" x14ac:dyDescent="0.15">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spans="1:28" ht="13" x14ac:dyDescent="0.15">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spans="1:28" ht="13" x14ac:dyDescent="0.15">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spans="1:28" ht="13" x14ac:dyDescent="0.15">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spans="1:28" ht="13" x14ac:dyDescent="0.15">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spans="1:28" ht="13" x14ac:dyDescent="0.15">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spans="1:28" ht="13" x14ac:dyDescent="0.15">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spans="1:28" ht="13" x14ac:dyDescent="0.1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spans="1:28" ht="13" x14ac:dyDescent="0.15">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spans="1:28" ht="13" x14ac:dyDescent="0.15">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spans="1:28" ht="13" x14ac:dyDescent="0.15">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spans="1:28" ht="13" x14ac:dyDescent="0.15">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spans="1:28" ht="13" x14ac:dyDescent="0.15">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spans="1:28" ht="13" x14ac:dyDescent="0.15">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spans="1:28" ht="13" x14ac:dyDescent="0.15">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spans="1:28" ht="13" x14ac:dyDescent="0.15">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spans="1:28" ht="13" x14ac:dyDescent="0.15">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spans="1:28" ht="13" x14ac:dyDescent="0.1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spans="1:28" ht="13" x14ac:dyDescent="0.15">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spans="1:28" ht="13" x14ac:dyDescent="0.15">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spans="1:28" ht="13" x14ac:dyDescent="0.15">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spans="1:28" ht="13" x14ac:dyDescent="0.15">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spans="1:28" ht="13" x14ac:dyDescent="0.15">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spans="1:28" ht="13" x14ac:dyDescent="0.15">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spans="1:28" ht="13" x14ac:dyDescent="0.15">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spans="1:28" ht="13" x14ac:dyDescent="0.15">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spans="1:28" ht="13" x14ac:dyDescent="0.15">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spans="1:28" ht="13" x14ac:dyDescent="0.1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spans="1:28" ht="13" x14ac:dyDescent="0.15">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spans="1:28" ht="13" x14ac:dyDescent="0.15">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spans="1:28" ht="13" x14ac:dyDescent="0.15">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spans="1:28" ht="13" x14ac:dyDescent="0.15">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spans="1:28" ht="13" x14ac:dyDescent="0.15">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spans="1:28" ht="13" x14ac:dyDescent="0.15">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spans="1:28" ht="13" x14ac:dyDescent="0.15">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spans="1:28" ht="13" x14ac:dyDescent="0.15">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spans="1:28" ht="13" x14ac:dyDescent="0.15">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spans="1:28" ht="13" x14ac:dyDescent="0.1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spans="1:28" ht="13" x14ac:dyDescent="0.15">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spans="1:28" ht="13" x14ac:dyDescent="0.15">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spans="1:28" ht="13" x14ac:dyDescent="0.15">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spans="1:28" ht="13" x14ac:dyDescent="0.15">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spans="1:28" ht="13" x14ac:dyDescent="0.15">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spans="1:28" ht="13" x14ac:dyDescent="0.15">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spans="1:28" ht="13" x14ac:dyDescent="0.15">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spans="1:28" ht="13" x14ac:dyDescent="0.15">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spans="1:28" ht="13" x14ac:dyDescent="0.15">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spans="1:28" ht="13" x14ac:dyDescent="0.1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spans="1:28" ht="13" x14ac:dyDescent="0.15">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spans="1:28" ht="13" x14ac:dyDescent="0.15">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spans="1:28" ht="13" x14ac:dyDescent="0.15">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spans="1:28" ht="13" x14ac:dyDescent="0.15">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spans="1:28" ht="13" x14ac:dyDescent="0.15">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spans="1:28" ht="13" x14ac:dyDescent="0.15">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spans="1:28" ht="13" x14ac:dyDescent="0.15">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spans="1:28" ht="13" x14ac:dyDescent="0.15">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spans="1:28" ht="13" x14ac:dyDescent="0.15">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spans="1:28" ht="13" x14ac:dyDescent="0.1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spans="1:28" ht="13" x14ac:dyDescent="0.15">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spans="1:28" ht="13" x14ac:dyDescent="0.15">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spans="1:28" ht="13" x14ac:dyDescent="0.15">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spans="1:28" ht="13" x14ac:dyDescent="0.15">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spans="1:28" ht="13" x14ac:dyDescent="0.15">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spans="1:28" ht="13" x14ac:dyDescent="0.15">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spans="1:28" ht="13" x14ac:dyDescent="0.15">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spans="1:28" ht="13" x14ac:dyDescent="0.15">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spans="1:28" ht="13" x14ac:dyDescent="0.15">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spans="1:28" ht="13" x14ac:dyDescent="0.1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spans="1:28" ht="13" x14ac:dyDescent="0.15">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spans="1:28" ht="13" x14ac:dyDescent="0.15">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spans="1:28" ht="13" x14ac:dyDescent="0.15">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spans="1:28" ht="13" x14ac:dyDescent="0.15">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spans="1:28" ht="13" x14ac:dyDescent="0.15">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spans="1:28" ht="13" x14ac:dyDescent="0.15">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spans="1:28" ht="13" x14ac:dyDescent="0.15">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spans="1:28" ht="13" x14ac:dyDescent="0.15">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spans="1:28" ht="13" x14ac:dyDescent="0.15">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spans="1:28" ht="13" x14ac:dyDescent="0.1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spans="1:28" ht="13" x14ac:dyDescent="0.15">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spans="1:28" ht="13" x14ac:dyDescent="0.15">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spans="1:28" ht="13" x14ac:dyDescent="0.15">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spans="1:28" ht="13" x14ac:dyDescent="0.15">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spans="1:28" ht="13" x14ac:dyDescent="0.15">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spans="1:28" ht="13" x14ac:dyDescent="0.15">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spans="1:28" ht="13" x14ac:dyDescent="0.15">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spans="1:28" ht="13" x14ac:dyDescent="0.15">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spans="1:28" ht="13" x14ac:dyDescent="0.15">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spans="1:28" ht="13" x14ac:dyDescent="0.1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spans="1:28" ht="13" x14ac:dyDescent="0.15">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spans="1:28" ht="13" x14ac:dyDescent="0.15">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spans="1:28" ht="13" x14ac:dyDescent="0.15">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spans="1:28" ht="13" x14ac:dyDescent="0.15">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spans="1:28" ht="13" x14ac:dyDescent="0.15">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spans="1:28" ht="13" x14ac:dyDescent="0.15">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spans="1:28" ht="13" x14ac:dyDescent="0.15">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spans="1:28" ht="13" x14ac:dyDescent="0.15">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spans="1:28" ht="13" x14ac:dyDescent="0.15">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spans="1:28" ht="13" x14ac:dyDescent="0.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spans="1:28" ht="13" x14ac:dyDescent="0.15">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spans="1:28" ht="13" x14ac:dyDescent="0.15">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spans="1:28" ht="13" x14ac:dyDescent="0.15">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spans="1:28" ht="13" x14ac:dyDescent="0.15">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spans="1:28" ht="13" x14ac:dyDescent="0.15">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spans="1:28" ht="13" x14ac:dyDescent="0.15">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spans="1:28" ht="13" x14ac:dyDescent="0.15">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spans="1:28" ht="13" x14ac:dyDescent="0.15">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spans="1:28" ht="13" x14ac:dyDescent="0.15">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spans="1:28" ht="13" x14ac:dyDescent="0.1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spans="1:28" ht="13" x14ac:dyDescent="0.15">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spans="1:28" ht="13" x14ac:dyDescent="0.15">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spans="1:28" ht="13" x14ac:dyDescent="0.15">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spans="1:28" ht="13" x14ac:dyDescent="0.15">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spans="1:28" ht="13" x14ac:dyDescent="0.15">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spans="1:28" ht="13" x14ac:dyDescent="0.15">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spans="1:28" ht="13" x14ac:dyDescent="0.15">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spans="1:28" ht="13" x14ac:dyDescent="0.15">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spans="1:28" ht="13" x14ac:dyDescent="0.15">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spans="1:28" ht="13" x14ac:dyDescent="0.1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spans="1:28" ht="13" x14ac:dyDescent="0.15">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spans="1:28" ht="13" x14ac:dyDescent="0.15">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spans="1:28" ht="13" x14ac:dyDescent="0.15">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spans="1:28" ht="13" x14ac:dyDescent="0.15">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spans="1:28" ht="13" x14ac:dyDescent="0.15">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spans="1:28" ht="13" x14ac:dyDescent="0.15">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spans="1:28" ht="13" x14ac:dyDescent="0.15">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spans="1:28" ht="13" x14ac:dyDescent="0.15">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spans="1:28" ht="13" x14ac:dyDescent="0.15">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spans="1:28" ht="13" x14ac:dyDescent="0.1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spans="1:28" ht="13" x14ac:dyDescent="0.15">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spans="1:28" ht="13" x14ac:dyDescent="0.15">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spans="1:28" ht="13" x14ac:dyDescent="0.15">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spans="1:28" ht="13" x14ac:dyDescent="0.15">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spans="1:28" ht="13" x14ac:dyDescent="0.15">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spans="1:28" ht="13" x14ac:dyDescent="0.15">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spans="1:28" ht="13" x14ac:dyDescent="0.15">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spans="1:28" ht="13" x14ac:dyDescent="0.15">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spans="1:28" ht="13" x14ac:dyDescent="0.15">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spans="1:28" ht="13" x14ac:dyDescent="0.1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spans="1:28" ht="13" x14ac:dyDescent="0.15">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spans="1:28" ht="13" x14ac:dyDescent="0.15">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spans="1:28" ht="13" x14ac:dyDescent="0.15">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spans="1:28" ht="13" x14ac:dyDescent="0.15">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spans="1:28" ht="13" x14ac:dyDescent="0.15">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spans="1:28" ht="13" x14ac:dyDescent="0.15">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spans="1:28" ht="13" x14ac:dyDescent="0.15">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spans="1:28" ht="13" x14ac:dyDescent="0.15">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spans="1:28" ht="13" x14ac:dyDescent="0.15">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spans="1:28" ht="13" x14ac:dyDescent="0.1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spans="1:28" ht="13" x14ac:dyDescent="0.15">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spans="1:28" ht="13" x14ac:dyDescent="0.15">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spans="1:28" ht="13" x14ac:dyDescent="0.15">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spans="1:28" ht="13" x14ac:dyDescent="0.15">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spans="1:28" ht="13" x14ac:dyDescent="0.15">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spans="1:28" ht="13" x14ac:dyDescent="0.15">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spans="1:28" ht="13" x14ac:dyDescent="0.15">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spans="1:28" ht="13" x14ac:dyDescent="0.15">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spans="1:28" ht="13" x14ac:dyDescent="0.15">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spans="1:28" ht="13" x14ac:dyDescent="0.1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spans="1:28" ht="13" x14ac:dyDescent="0.15">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spans="1:28" ht="13" x14ac:dyDescent="0.15">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spans="1:28" ht="13" x14ac:dyDescent="0.15">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spans="1:28" ht="13" x14ac:dyDescent="0.15">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spans="1:28" ht="13" x14ac:dyDescent="0.15">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spans="1:28" ht="13" x14ac:dyDescent="0.15">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spans="1:28" ht="13" x14ac:dyDescent="0.15">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spans="1:28" ht="13" x14ac:dyDescent="0.15">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spans="1:28" ht="13" x14ac:dyDescent="0.15">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spans="1:28" ht="13" x14ac:dyDescent="0.1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spans="1:28" ht="13" x14ac:dyDescent="0.15">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spans="1:28" ht="13" x14ac:dyDescent="0.15">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spans="1:28" ht="13" x14ac:dyDescent="0.15">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spans="1:28" ht="13" x14ac:dyDescent="0.15">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spans="1:28" ht="13" x14ac:dyDescent="0.15">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spans="1:28" ht="13" x14ac:dyDescent="0.15">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spans="1:28" ht="13" x14ac:dyDescent="0.15">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spans="1:28" ht="13" x14ac:dyDescent="0.15">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spans="1:28" ht="13" x14ac:dyDescent="0.15">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spans="1:28" ht="13" x14ac:dyDescent="0.1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spans="1:28" ht="13" x14ac:dyDescent="0.15">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spans="1:28" ht="13" x14ac:dyDescent="0.15">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spans="1:28" ht="13" x14ac:dyDescent="0.15">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spans="1:28" ht="13" x14ac:dyDescent="0.15">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spans="1:28" ht="13" x14ac:dyDescent="0.15">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spans="1:28" ht="13" x14ac:dyDescent="0.15">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spans="1:28" ht="13" x14ac:dyDescent="0.15">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spans="1:28" ht="13" x14ac:dyDescent="0.15">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spans="1:28" ht="13" x14ac:dyDescent="0.15">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spans="1:28" ht="13" x14ac:dyDescent="0.1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spans="1:28" ht="13" x14ac:dyDescent="0.15">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spans="1:28" ht="13" x14ac:dyDescent="0.15">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spans="1:28" ht="13" x14ac:dyDescent="0.15">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spans="1:28" ht="13" x14ac:dyDescent="0.15">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spans="1:28" ht="13" x14ac:dyDescent="0.15">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spans="1:28" ht="13" x14ac:dyDescent="0.15">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spans="1:28" ht="13" x14ac:dyDescent="0.15">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spans="1:28" ht="13" x14ac:dyDescent="0.15">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spans="1:28" ht="13" x14ac:dyDescent="0.15">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spans="1:28" ht="13" x14ac:dyDescent="0.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spans="1:28" ht="13" x14ac:dyDescent="0.15">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spans="1:28" ht="13" x14ac:dyDescent="0.15">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spans="1:28" ht="13" x14ac:dyDescent="0.15">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spans="1:28" ht="13" x14ac:dyDescent="0.15">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spans="1:28" ht="13" x14ac:dyDescent="0.15">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spans="1:28" ht="13" x14ac:dyDescent="0.15">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spans="1:28" ht="13" x14ac:dyDescent="0.15">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spans="1:28" ht="13" x14ac:dyDescent="0.15">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spans="1:28" ht="13" x14ac:dyDescent="0.15">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spans="1:28" ht="13" x14ac:dyDescent="0.1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spans="1:28" ht="13" x14ac:dyDescent="0.15">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spans="1:28" ht="13" x14ac:dyDescent="0.15">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spans="1:28" ht="13" x14ac:dyDescent="0.15">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spans="1:28" ht="13" x14ac:dyDescent="0.15">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spans="1:28" ht="13" x14ac:dyDescent="0.15">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spans="1:28" ht="13" x14ac:dyDescent="0.15">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spans="1:28" ht="13" x14ac:dyDescent="0.15">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spans="1:28" ht="13" x14ac:dyDescent="0.15">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spans="1:28" ht="13" x14ac:dyDescent="0.15">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spans="1:28" ht="13" x14ac:dyDescent="0.1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spans="1:28" ht="13" x14ac:dyDescent="0.15">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spans="1:28" ht="13" x14ac:dyDescent="0.15">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spans="1:28" ht="13" x14ac:dyDescent="0.15">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spans="1:28" ht="13" x14ac:dyDescent="0.15">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spans="1:28" ht="13" x14ac:dyDescent="0.15">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spans="1:28" ht="13" x14ac:dyDescent="0.15">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spans="1:28" ht="13" x14ac:dyDescent="0.15">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spans="1:28" ht="13" x14ac:dyDescent="0.15">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spans="1:28" ht="13" x14ac:dyDescent="0.15">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spans="1:28" ht="13" x14ac:dyDescent="0.1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spans="1:28" ht="13" x14ac:dyDescent="0.15">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spans="1:28" ht="13" x14ac:dyDescent="0.15">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spans="1:28" ht="13" x14ac:dyDescent="0.15">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spans="1:28" ht="13" x14ac:dyDescent="0.15">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spans="1:28" ht="13" x14ac:dyDescent="0.15">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spans="1:28" ht="13" x14ac:dyDescent="0.15">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spans="1:28" ht="13" x14ac:dyDescent="0.15">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spans="1:28" ht="13" x14ac:dyDescent="0.15">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spans="1:28" ht="13" x14ac:dyDescent="0.15">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spans="1:28" ht="13" x14ac:dyDescent="0.1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spans="1:28" ht="13" x14ac:dyDescent="0.15">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spans="1:28" ht="13" x14ac:dyDescent="0.15">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spans="1:28" ht="13" x14ac:dyDescent="0.15">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spans="1:28" ht="13" x14ac:dyDescent="0.15">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spans="1:28" ht="13" x14ac:dyDescent="0.15">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spans="1:28" ht="13" x14ac:dyDescent="0.15">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spans="1:28" ht="13" x14ac:dyDescent="0.15">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spans="1:28" ht="13" x14ac:dyDescent="0.15">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spans="1:28" ht="13" x14ac:dyDescent="0.15">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spans="1:28" ht="13" x14ac:dyDescent="0.1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spans="1:28" ht="13" x14ac:dyDescent="0.15">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spans="1:28" ht="13" x14ac:dyDescent="0.15">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spans="1:28" ht="13" x14ac:dyDescent="0.15">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spans="1:28" ht="13" x14ac:dyDescent="0.15">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spans="1:28" ht="13" x14ac:dyDescent="0.15">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spans="1:28" ht="13" x14ac:dyDescent="0.15">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spans="1:28" ht="13" x14ac:dyDescent="0.15">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spans="1:28" ht="13" x14ac:dyDescent="0.15">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spans="1:28" ht="13" x14ac:dyDescent="0.15">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spans="1:28" ht="13" x14ac:dyDescent="0.1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spans="1:28" ht="13" x14ac:dyDescent="0.15">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spans="1:28" ht="13" x14ac:dyDescent="0.15">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spans="1:28" ht="13" x14ac:dyDescent="0.15">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spans="1:28" ht="13" x14ac:dyDescent="0.15">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spans="1:28" ht="13" x14ac:dyDescent="0.15">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spans="1:28" ht="13" x14ac:dyDescent="0.15">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spans="1:28" ht="13" x14ac:dyDescent="0.15">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spans="1:28" ht="13" x14ac:dyDescent="0.15">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spans="1:28" ht="13" x14ac:dyDescent="0.15">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spans="1:28" ht="13" x14ac:dyDescent="0.1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spans="1:28" ht="13" x14ac:dyDescent="0.15">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spans="1:28" ht="13" x14ac:dyDescent="0.15">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spans="1:28" ht="13" x14ac:dyDescent="0.15">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spans="1:28" ht="13" x14ac:dyDescent="0.15">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spans="1:28" ht="13" x14ac:dyDescent="0.15">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spans="1:28" ht="13" x14ac:dyDescent="0.15">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spans="1:28" ht="13" x14ac:dyDescent="0.15">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spans="1:28" ht="13" x14ac:dyDescent="0.15">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spans="1:28" ht="13" x14ac:dyDescent="0.15">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spans="1:28" ht="13" x14ac:dyDescent="0.1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spans="1:28" ht="13" x14ac:dyDescent="0.15">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spans="1:28" ht="13" x14ac:dyDescent="0.15">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spans="1:28" ht="13" x14ac:dyDescent="0.15">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spans="1:28" ht="13" x14ac:dyDescent="0.15">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spans="1:28" ht="13" x14ac:dyDescent="0.15">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spans="1:28" ht="13" x14ac:dyDescent="0.15">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spans="1:28" ht="13" x14ac:dyDescent="0.15">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spans="1:28" ht="13" x14ac:dyDescent="0.15">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spans="1:28" ht="13" x14ac:dyDescent="0.15">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spans="1:28" ht="13" x14ac:dyDescent="0.1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spans="1:28" ht="13" x14ac:dyDescent="0.15">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spans="1:28" ht="13" x14ac:dyDescent="0.15">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spans="1:28" ht="13" x14ac:dyDescent="0.15">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spans="1:28" ht="13" x14ac:dyDescent="0.15">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spans="1:28" ht="13" x14ac:dyDescent="0.15">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spans="1:28" ht="13" x14ac:dyDescent="0.15">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spans="1:28" ht="13" x14ac:dyDescent="0.15">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spans="1:28" ht="13" x14ac:dyDescent="0.15">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spans="1:28" ht="13" x14ac:dyDescent="0.15">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spans="1:28" ht="13" x14ac:dyDescent="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spans="1:28" ht="13" x14ac:dyDescent="0.15">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spans="1:28" ht="13" x14ac:dyDescent="0.15">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spans="1:28" ht="13" x14ac:dyDescent="0.15">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spans="1:28" ht="13" x14ac:dyDescent="0.15">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spans="1:28" ht="13" x14ac:dyDescent="0.15">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spans="1:28" ht="13" x14ac:dyDescent="0.15">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spans="1:28" ht="13" x14ac:dyDescent="0.15">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spans="1:28" ht="13" x14ac:dyDescent="0.15">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spans="1:28" ht="13" x14ac:dyDescent="0.15">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spans="1:28" ht="13" x14ac:dyDescent="0.1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spans="1:28" ht="13" x14ac:dyDescent="0.15">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spans="1:28" ht="13" x14ac:dyDescent="0.15">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spans="1:28" ht="13" x14ac:dyDescent="0.15">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spans="1:28" ht="13" x14ac:dyDescent="0.15">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spans="1:28" ht="13" x14ac:dyDescent="0.15">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spans="1:28" ht="13" x14ac:dyDescent="0.15">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spans="1:28" ht="13" x14ac:dyDescent="0.15">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spans="1:28" ht="13" x14ac:dyDescent="0.15">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spans="1:28" ht="13" x14ac:dyDescent="0.15">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spans="1:28" ht="13" x14ac:dyDescent="0.1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spans="1:28" ht="13" x14ac:dyDescent="0.15">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spans="1:28" ht="13" x14ac:dyDescent="0.15">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spans="1:28" ht="13" x14ac:dyDescent="0.15">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spans="1:28" ht="13" x14ac:dyDescent="0.15">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spans="1:28" ht="13" x14ac:dyDescent="0.15">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spans="1:28" ht="13" x14ac:dyDescent="0.15">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spans="1:28" ht="13" x14ac:dyDescent="0.15">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spans="1:28" ht="13" x14ac:dyDescent="0.15">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spans="1:28" ht="13" x14ac:dyDescent="0.15">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spans="1:28" ht="13" x14ac:dyDescent="0.1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spans="1:28" ht="13" x14ac:dyDescent="0.15">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spans="1:28" ht="13" x14ac:dyDescent="0.15">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spans="1:28" ht="13" x14ac:dyDescent="0.15">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spans="1:28" ht="13" x14ac:dyDescent="0.15">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spans="1:28" ht="13" x14ac:dyDescent="0.15">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spans="1:28" ht="13" x14ac:dyDescent="0.15">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spans="1:28" ht="13" x14ac:dyDescent="0.15">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spans="1:28" ht="13" x14ac:dyDescent="0.15">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spans="1:28" ht="13" x14ac:dyDescent="0.15">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spans="1:28" ht="13" x14ac:dyDescent="0.1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spans="1:28" ht="13" x14ac:dyDescent="0.15">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spans="1:28" ht="13" x14ac:dyDescent="0.15">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spans="1:28" ht="13" x14ac:dyDescent="0.15">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spans="1:28" ht="13" x14ac:dyDescent="0.15">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spans="1:28" ht="13" x14ac:dyDescent="0.15">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spans="1:28" ht="13" x14ac:dyDescent="0.15">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spans="1:28" ht="13" x14ac:dyDescent="0.15">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spans="1:28" ht="13" x14ac:dyDescent="0.15">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spans="1:28" ht="13" x14ac:dyDescent="0.15">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spans="1:28" ht="13" x14ac:dyDescent="0.1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spans="1:28" ht="13" x14ac:dyDescent="0.15">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spans="1:28" ht="13" x14ac:dyDescent="0.15">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spans="1:28" ht="13" x14ac:dyDescent="0.15">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spans="1:28" ht="13" x14ac:dyDescent="0.15">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spans="1:28" ht="13" x14ac:dyDescent="0.15">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spans="1:28" ht="13" x14ac:dyDescent="0.15">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spans="1:28" ht="13" x14ac:dyDescent="0.15">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spans="1:28" ht="13" x14ac:dyDescent="0.15">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spans="1:28" ht="13" x14ac:dyDescent="0.15">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spans="1:28" ht="13" x14ac:dyDescent="0.1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spans="1:28" ht="13" x14ac:dyDescent="0.15">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spans="1:28" ht="13" x14ac:dyDescent="0.15">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spans="1:28" ht="13" x14ac:dyDescent="0.15">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spans="1:28" ht="13" x14ac:dyDescent="0.15">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spans="1:28" ht="13" x14ac:dyDescent="0.15">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spans="1:28" ht="13" x14ac:dyDescent="0.15">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spans="1:28" ht="13" x14ac:dyDescent="0.15">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spans="1:28" ht="13" x14ac:dyDescent="0.15">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spans="1:28" ht="13" x14ac:dyDescent="0.15">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spans="1:28" ht="13" x14ac:dyDescent="0.1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spans="1:28" ht="13" x14ac:dyDescent="0.15">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spans="1:28" ht="13" x14ac:dyDescent="0.15">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spans="1:28" ht="13" x14ac:dyDescent="0.15">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spans="1:28" ht="13" x14ac:dyDescent="0.15">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spans="1:28" ht="13" x14ac:dyDescent="0.15">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spans="1:28" ht="13" x14ac:dyDescent="0.15">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spans="1:28" ht="13" x14ac:dyDescent="0.15">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spans="1:28" ht="13" x14ac:dyDescent="0.15">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spans="1:28" ht="13" x14ac:dyDescent="0.15">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spans="1:28" ht="13" x14ac:dyDescent="0.1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spans="1:28" ht="13" x14ac:dyDescent="0.15">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spans="1:28" ht="13" x14ac:dyDescent="0.15">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spans="1:28" ht="13" x14ac:dyDescent="0.15">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spans="1:28" ht="13" x14ac:dyDescent="0.15">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spans="1:28" ht="13" x14ac:dyDescent="0.15">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spans="1:28" ht="13" x14ac:dyDescent="0.15">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spans="1:28" ht="13" x14ac:dyDescent="0.15">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spans="1:28" ht="13" x14ac:dyDescent="0.15">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spans="1:28" ht="13" x14ac:dyDescent="0.15">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spans="1:28" ht="13" x14ac:dyDescent="0.1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spans="1:28" ht="13" x14ac:dyDescent="0.15">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spans="1:28" ht="13" x14ac:dyDescent="0.15">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spans="1:28" ht="13" x14ac:dyDescent="0.15">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spans="1:28" ht="13" x14ac:dyDescent="0.15">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spans="1:28" ht="13" x14ac:dyDescent="0.15">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spans="1:28" ht="13" x14ac:dyDescent="0.15">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spans="1:28" ht="13" x14ac:dyDescent="0.15">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spans="1:28" ht="13" x14ac:dyDescent="0.15">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spans="1:28" ht="13" x14ac:dyDescent="0.15">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spans="1:28" ht="13" x14ac:dyDescent="0.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spans="1:28" ht="13" x14ac:dyDescent="0.15">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spans="1:28" ht="13" x14ac:dyDescent="0.15">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spans="1:28" ht="13" x14ac:dyDescent="0.15">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spans="1:28" ht="13" x14ac:dyDescent="0.15">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spans="1:28" ht="13" x14ac:dyDescent="0.15">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spans="1:28" ht="13" x14ac:dyDescent="0.15">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spans="1:28" ht="13" x14ac:dyDescent="0.15">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spans="1:28" ht="13" x14ac:dyDescent="0.15">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spans="1:28" ht="13" x14ac:dyDescent="0.15">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spans="1:28" ht="13" x14ac:dyDescent="0.1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spans="1:28" ht="13" x14ac:dyDescent="0.15">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spans="1:28" ht="13" x14ac:dyDescent="0.15">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spans="1:28" ht="13" x14ac:dyDescent="0.15">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spans="1:28" ht="13" x14ac:dyDescent="0.15">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spans="1:28" ht="13" x14ac:dyDescent="0.15">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spans="1:28" ht="13" x14ac:dyDescent="0.15">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spans="1:28" ht="13" x14ac:dyDescent="0.15">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spans="1:28" ht="13" x14ac:dyDescent="0.15">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spans="1:28" ht="13" x14ac:dyDescent="0.15">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spans="1:28" ht="13" x14ac:dyDescent="0.1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spans="1:28" ht="13" x14ac:dyDescent="0.15">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spans="1:28" ht="13" x14ac:dyDescent="0.15">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spans="1:28" ht="13" x14ac:dyDescent="0.15">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spans="1:28" ht="13" x14ac:dyDescent="0.15">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spans="1:28" ht="13" x14ac:dyDescent="0.15">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spans="1:28" ht="13" x14ac:dyDescent="0.15">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spans="1:28" ht="13" x14ac:dyDescent="0.15">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spans="1:28" ht="13" x14ac:dyDescent="0.15">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spans="1:28" ht="13" x14ac:dyDescent="0.15">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spans="1:28" ht="13" x14ac:dyDescent="0.1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spans="1:28" ht="13" x14ac:dyDescent="0.15">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spans="1:28" ht="13" x14ac:dyDescent="0.15">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spans="1:28" ht="13" x14ac:dyDescent="0.15">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spans="1:28" ht="13" x14ac:dyDescent="0.15">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spans="1:28" ht="13" x14ac:dyDescent="0.15">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spans="1:28" ht="13" x14ac:dyDescent="0.15">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spans="1:28" ht="13" x14ac:dyDescent="0.15">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spans="1:28" ht="13" x14ac:dyDescent="0.15">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spans="1:28" ht="13" x14ac:dyDescent="0.15">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spans="1:28" ht="13" x14ac:dyDescent="0.1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spans="1:28" ht="13" x14ac:dyDescent="0.15">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spans="1:28" ht="13" x14ac:dyDescent="0.15">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spans="1:28" ht="13" x14ac:dyDescent="0.15">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spans="1:28" ht="13" x14ac:dyDescent="0.15">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spans="1:28" ht="13" x14ac:dyDescent="0.15">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spans="1:28" ht="13" x14ac:dyDescent="0.15">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spans="1:28" ht="13" x14ac:dyDescent="0.15">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spans="1:28" ht="13" x14ac:dyDescent="0.15">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spans="1:28" ht="13" x14ac:dyDescent="0.15">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spans="1:28" ht="13" x14ac:dyDescent="0.1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216"/>
  <sheetViews>
    <sheetView workbookViewId="0"/>
  </sheetViews>
  <sheetFormatPr baseColWidth="10" defaultColWidth="14.5" defaultRowHeight="15.75" customHeight="1" x14ac:dyDescent="0.15"/>
  <cols>
    <col min="1" max="1" width="25.5" customWidth="1"/>
    <col min="2" max="12" width="19.5" customWidth="1"/>
  </cols>
  <sheetData>
    <row r="1" spans="1:28" ht="18" x14ac:dyDescent="0.2">
      <c r="A1" s="1"/>
      <c r="B1" s="2"/>
      <c r="C1" s="1"/>
      <c r="D1" s="3" t="s">
        <v>0</v>
      </c>
      <c r="E1" s="1"/>
      <c r="F1" s="1"/>
      <c r="G1" s="1"/>
      <c r="H1" s="4"/>
      <c r="I1" s="1"/>
      <c r="J1" s="5"/>
      <c r="K1" s="5"/>
      <c r="L1" s="6"/>
      <c r="M1" s="6"/>
      <c r="N1" s="6"/>
      <c r="O1" s="6"/>
      <c r="P1" s="6"/>
      <c r="Q1" s="6"/>
      <c r="R1" s="6"/>
      <c r="S1" s="6"/>
      <c r="T1" s="6"/>
      <c r="U1" s="6"/>
      <c r="V1" s="6"/>
      <c r="W1" s="6"/>
      <c r="X1" s="6"/>
      <c r="Y1" s="6"/>
      <c r="Z1" s="6"/>
      <c r="AA1" s="6"/>
      <c r="AB1" s="6"/>
    </row>
    <row r="2" spans="1:28" ht="15.75" customHeight="1" x14ac:dyDescent="0.15">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spans="1:28" ht="15.75" customHeight="1" x14ac:dyDescent="0.15">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spans="1:28" ht="15.75" customHeight="1" x14ac:dyDescent="0.15">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spans="1:28" ht="15.75" customHeight="1" x14ac:dyDescent="0.1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spans="1:28" ht="15.75" customHeight="1" x14ac:dyDescent="0.15">
      <c r="A6" s="1"/>
      <c r="B6" s="10"/>
      <c r="C6" s="10"/>
      <c r="D6" s="10"/>
      <c r="E6" s="11"/>
      <c r="F6" s="10"/>
      <c r="G6" s="11"/>
      <c r="H6" s="12"/>
      <c r="I6" s="1"/>
      <c r="J6" s="9"/>
      <c r="K6" s="5"/>
      <c r="L6" s="6"/>
      <c r="M6" s="6"/>
      <c r="N6" s="6"/>
      <c r="O6" s="6"/>
      <c r="P6" s="6"/>
      <c r="Q6" s="6"/>
      <c r="R6" s="6"/>
      <c r="S6" s="6"/>
      <c r="T6" s="6"/>
      <c r="U6" s="6"/>
      <c r="V6" s="6"/>
      <c r="W6" s="6"/>
      <c r="X6" s="6"/>
      <c r="Y6" s="6"/>
      <c r="Z6" s="6"/>
      <c r="AA6" s="6"/>
      <c r="AB6" s="6"/>
    </row>
    <row r="7" spans="1:28" ht="15.75" customHeight="1" x14ac:dyDescent="0.15">
      <c r="A7" s="16"/>
      <c r="B7" s="17"/>
      <c r="C7" s="17"/>
      <c r="D7" s="17"/>
      <c r="E7" s="17"/>
      <c r="F7" s="17"/>
      <c r="G7" s="17"/>
      <c r="H7" s="17"/>
      <c r="I7" s="1"/>
      <c r="J7" s="5"/>
      <c r="K7" s="5"/>
      <c r="L7" s="6"/>
      <c r="M7" s="6"/>
      <c r="N7" s="6"/>
      <c r="O7" s="6"/>
      <c r="P7" s="6"/>
      <c r="Q7" s="6"/>
      <c r="R7" s="6"/>
      <c r="S7" s="6"/>
      <c r="T7" s="6"/>
      <c r="U7" s="6"/>
      <c r="V7" s="6"/>
      <c r="W7" s="6"/>
      <c r="X7" s="6"/>
      <c r="Y7" s="6"/>
      <c r="Z7" s="6"/>
      <c r="AA7" s="6"/>
      <c r="AB7" s="6"/>
    </row>
    <row r="8" spans="1:28" ht="15.75" customHeight="1" x14ac:dyDescent="0.15">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spans="1:28" ht="15.75" customHeight="1" x14ac:dyDescent="0.15">
      <c r="A9" s="21" t="s">
        <v>384</v>
      </c>
      <c r="B9" s="22" t="s">
        <v>385</v>
      </c>
      <c r="C9" s="23" t="str">
        <f ca="1">IFERROR(__xludf.DUMMYFUNCTION("GOOGLETRANSLATE(B9, ""en"", ""fr"")"),"Exp Orb: Melee")</f>
        <v>Exp Orb: Melee</v>
      </c>
      <c r="D9" s="23" t="str">
        <f ca="1">IFERROR(__xludf.DUMMYFUNCTION("GOOGLETRANSLATE(B9, ""en"", ""es"")"),"Exp orb: cuerpo a cuerpo")</f>
        <v>Exp orb: cuerpo a cuerpo</v>
      </c>
      <c r="E9" s="23" t="s">
        <v>386</v>
      </c>
      <c r="F9" s="23" t="str">
        <f ca="1">IFERROR(__xludf.DUMMYFUNCTION("GOOGLETRANSLATE(B9, ""en"", ""tr"")"),"Exp orb: yakın dövüş")</f>
        <v>Exp orb: yakın dövüş</v>
      </c>
      <c r="G9" s="23" t="str">
        <f ca="1">IFERROR(__xludf.DUMMYFUNCTION("GOOGLETRANSLATE(B9, ""en"", ""pt"")"),"EXP Orb: Melee")</f>
        <v>EXP Orb: Melee</v>
      </c>
      <c r="H9" s="24" t="str">
        <f ca="1">IFERROR(__xludf.DUMMYFUNCTION("GOOGLETRANSLATE(B9, ""en"", ""de"")"),"EXP-Kugel: Nahkampf")</f>
        <v>EXP-Kugel: Nahkampf</v>
      </c>
      <c r="I9" s="23" t="str">
        <f ca="1">IFERROR(__xludf.DUMMYFUNCTION("GOOGLETRANSLATE(B9, ""en"", ""pl"")"),"EXP ORB: WAREE")</f>
        <v>EXP ORB: WAREE</v>
      </c>
      <c r="J9" s="25" t="str">
        <f ca="1">IFERROR(__xludf.DUMMYFUNCTION("GOOGLETRANSLATE(B9, ""en"", ""zh"")"),"EXP ORB：MELEE")</f>
        <v>EXP ORB：MELEE</v>
      </c>
      <c r="K9" s="25" t="str">
        <f ca="1">IFERROR(__xludf.DUMMYFUNCTION("GOOGLETRANSLATE(B9, ""en"", ""vi"")"),"Exp Orb: Melee")</f>
        <v>Exp Orb: Melee</v>
      </c>
      <c r="L9" s="26" t="str">
        <f ca="1">IFERROR(__xludf.DUMMYFUNCTION("GOOGLETRANSLATE(B9, ""en"", ""hr"")"),"Exp orb: gužva")</f>
        <v>Exp orb: gužva</v>
      </c>
      <c r="M9" s="28"/>
      <c r="N9" s="28"/>
      <c r="O9" s="28"/>
      <c r="P9" s="28"/>
      <c r="Q9" s="28"/>
      <c r="R9" s="28"/>
      <c r="S9" s="28"/>
      <c r="T9" s="28"/>
      <c r="U9" s="28"/>
      <c r="V9" s="28"/>
      <c r="W9" s="28"/>
      <c r="X9" s="28"/>
      <c r="Y9" s="28"/>
      <c r="Z9" s="28"/>
      <c r="AA9" s="28"/>
      <c r="AB9" s="28"/>
    </row>
    <row r="10" spans="1:28" ht="15.75" customHeight="1" x14ac:dyDescent="0.15">
      <c r="A10" s="21" t="s">
        <v>387</v>
      </c>
      <c r="B10" s="22" t="s">
        <v>388</v>
      </c>
      <c r="C10" s="23" t="str">
        <f ca="1">IFERROR(__xludf.DUMMYFUNCTION("GOOGLETRANSLATE(B10, ""en"", ""fr"")"),"Donne beaucoup de stat de mêlée exp.")</f>
        <v>Donne beaucoup de stat de mêlée exp.</v>
      </c>
      <c r="D10" s="23" t="str">
        <f ca="1">IFERROR(__xludf.DUMMYFUNCTION("GOOGLETRANSLATE(B10, ""en"", ""es"")"),"Da una gran cantidad de Melee Stat Exp cuando se usa.")</f>
        <v>Da una gran cantidad de Melee Stat Exp cuando se usa.</v>
      </c>
      <c r="E10" s="23" t="s">
        <v>389</v>
      </c>
      <c r="F10" s="23" t="str">
        <f ca="1">IFERROR(__xludf.DUMMYFUNCTION("GOOGLETRANSLATE(B10, ""en"", ""tr"")"),"Kullanıldığında çok fazla Melee Stath Exp verir.")</f>
        <v>Kullanıldığında çok fazla Melee Stath Exp verir.</v>
      </c>
      <c r="G10" s="23" t="str">
        <f ca="1">IFERROR(__xludf.DUMMYFUNCTION("GOOGLETRANSLATE(B10, ""en"", ""pt"")"),"Dá um monte de estatismo corpo corpo-corpo quando usado.")</f>
        <v>Dá um monte de estatismo corpo corpo-corpo quando usado.</v>
      </c>
      <c r="H10" s="24" t="str">
        <f ca="1">IFERROR(__xludf.DUMMYFUNCTION("GOOGLETRANSLATE(B10, ""en"", ""de"")"),"Gibt viel Nahkampfstat aus, wenn Sie verwendet werden.")</f>
        <v>Gibt viel Nahkampfstat aus, wenn Sie verwendet werden.</v>
      </c>
      <c r="I10" s="23" t="str">
        <f ca="1">IFERROR(__xludf.DUMMYFUNCTION("GOOGLETRANSLATE(B10, ""en"", ""pl"")"),"Daje dużo statystyki walki wręcz, gdy jest używany.")</f>
        <v>Daje dużo statystyki walki wręcz, gdy jest używany.</v>
      </c>
      <c r="J10" s="25" t="str">
        <f ca="1">IFERROR(__xludf.DUMMYFUNCTION("GOOGLETRANSLATE(B10, ""en"", ""zh"")"),"使用时提供了很多Melee Stat Exp。")</f>
        <v>使用时提供了很多Melee Stat Exp。</v>
      </c>
      <c r="K10" s="25" t="str">
        <f ca="1">IFERROR(__xludf.DUMMYFUNCTION("GOOGLETRANSLATE(B10, ""en"", ""vi"")"),"Cho rất nhiều chỉ số cận chiến exp khi sử dụng.")</f>
        <v>Cho rất nhiều chỉ số cận chiến exp khi sử dụng.</v>
      </c>
      <c r="L10" s="26" t="str">
        <f ca="1">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spans="1:28" ht="15.75" customHeight="1" x14ac:dyDescent="0.15">
      <c r="A11" s="21" t="s">
        <v>390</v>
      </c>
      <c r="B11" s="22" t="s">
        <v>391</v>
      </c>
      <c r="C11" s="23" t="str">
        <f ca="1">IFERROR(__xludf.DUMMYFUNCTION("GOOGLETRANSLATE(B11, ""en"", ""fr"")"),"EXP ORB: allait")</f>
        <v>EXP ORB: allait</v>
      </c>
      <c r="D11" s="23" t="str">
        <f ca="1">IFERROR(__xludf.DUMMYFUNCTION("GOOGLETRANSLATE(B11, ""en"", ""es"")"),"Exp orbe: a distancia")</f>
        <v>Exp orbe: a distancia</v>
      </c>
      <c r="E11" s="23" t="s">
        <v>392</v>
      </c>
      <c r="F11" s="23" t="str">
        <f ca="1">IFERROR(__xludf.DUMMYFUNCTION("GOOGLETRANSLATE(B11, ""en"", ""tr"")"),"EXP ORB: RANGED")</f>
        <v>EXP ORB: RANGED</v>
      </c>
      <c r="G11" s="23" t="str">
        <f ca="1">IFERROR(__xludf.DUMMYFUNCTION("GOOGLETRANSLATE(B11, ""en"", ""pt"")"),"Exp orb: variou")</f>
        <v>Exp orb: variou</v>
      </c>
      <c r="H11" s="24" t="str">
        <f ca="1">IFERROR(__xludf.DUMMYFUNCTION("GOOGLETRANSLATE(B11, ""en"", ""de"")"),"EXP-Kugel: reichlich")</f>
        <v>EXP-Kugel: reichlich</v>
      </c>
      <c r="I11" s="23" t="str">
        <f ca="1">IFERROR(__xludf.DUMMYFUNCTION("GOOGLETRANSLATE(B11, ""en"", ""pl"")"),"Exp Orb: Dama")</f>
        <v>Exp Orb: Dama</v>
      </c>
      <c r="J11" s="25" t="str">
        <f ca="1">IFERROR(__xludf.DUMMYFUNCTION("GOOGLETRANSLATE(B11, ""en"", ""zh"")"),"EXP ORB：远程")</f>
        <v>EXP ORB：远程</v>
      </c>
      <c r="K11" s="25" t="str">
        <f ca="1">IFERROR(__xludf.DUMMYFUNCTION("GOOGLETRANSLATE(B11, ""en"", ""vi"")"),"Exp orb: ranged")</f>
        <v>Exp orb: ranged</v>
      </c>
      <c r="L11" s="26" t="str">
        <f ca="1">IFERROR(__xludf.DUMMYFUNCTION("GOOGLETRANSLATE(B11, ""en"", ""hr"")"),"Exp Orb: Rashed")</f>
        <v>Exp Orb: Rashed</v>
      </c>
      <c r="M11" s="28"/>
      <c r="N11" s="28"/>
      <c r="O11" s="28"/>
      <c r="P11" s="28"/>
      <c r="Q11" s="28"/>
      <c r="R11" s="28"/>
      <c r="S11" s="28"/>
      <c r="T11" s="28"/>
      <c r="U11" s="28"/>
      <c r="V11" s="28"/>
      <c r="W11" s="28"/>
      <c r="X11" s="28"/>
      <c r="Y11" s="28"/>
      <c r="Z11" s="28"/>
      <c r="AA11" s="28"/>
      <c r="AB11" s="28"/>
    </row>
    <row r="12" spans="1:28" ht="15.75" customHeight="1" x14ac:dyDescent="0.15">
      <c r="A12" s="21" t="s">
        <v>393</v>
      </c>
      <c r="B12" s="22" t="s">
        <v>394</v>
      </c>
      <c r="C12" s="23" t="str">
        <f ca="1">IFERROR(__xludf.DUMMYFUNCTION("GOOGLETRANSLATE(B12, ""en"", ""fr"")"),"Donne beaucoup de statistiques à distance lorsqu'il est utilisé.")</f>
        <v>Donne beaucoup de statistiques à distance lorsqu'il est utilisé.</v>
      </c>
      <c r="D12" s="23" t="str">
        <f ca="1">IFERROR(__xludf.DUMMYFUNCTION("GOOGLETRANSLATE(B12, ""en"", ""es"")"),"Da una gran cantidad de exposición de estadísticas a distancia cuando se usa.")</f>
        <v>Da una gran cantidad de exposición de estadísticas a distancia cuando se usa.</v>
      </c>
      <c r="E12" s="23" t="s">
        <v>395</v>
      </c>
      <c r="F12" s="23" t="str">
        <f ca="1">IFERROR(__xludf.DUMMYFUNCTION("GOOGLETRANSLATE(B12, ""en"", ""tr"")"),"Kullanıldığında çok sayıda değişimli Stath Exp verir.")</f>
        <v>Kullanıldığında çok sayıda değişimli Stath Exp verir.</v>
      </c>
      <c r="G12" s="23" t="str">
        <f ca="1">IFERROR(__xludf.DUMMYFUNCTION("GOOGLETRANSLATE(B12, ""en"", ""pt"")"),"Dá um monte de stat exp de grande variação quando usado.")</f>
        <v>Dá um monte de stat exp de grande variação quando usado.</v>
      </c>
      <c r="H12" s="24" t="str">
        <f ca="1">IFERROR(__xludf.DUMMYFUNCTION("GOOGLETRANSLATE(B12, ""en"", ""de"")"),"Gibt viel Fernkampfstat aus, wenn Sie verwendet werden.")</f>
        <v>Gibt viel Fernkampfstat aus, wenn Sie verwendet werden.</v>
      </c>
      <c r="I12" s="23" t="str">
        <f ca="1">IFERROR(__xludf.DUMMYFUNCTION("GOOGLETRANSLATE(B12, ""en"", ""pl"")"),"Daje dużo dystansowej statystyki, gdy jest używane.")</f>
        <v>Daje dużo dystansowej statystyki, gdy jest używane.</v>
      </c>
      <c r="J12" s="25" t="str">
        <f ca="1">IFERROR(__xludf.DUMMYFUNCTION("GOOGLETRANSLATE(B12, ""en"", ""zh"")"),"使用时提供了很多范围的STAT exp。")</f>
        <v>使用时提供了很多范围的STAT exp。</v>
      </c>
      <c r="K12" s="25" t="str">
        <f ca="1">IFERROR(__xludf.DUMMYFUNCTION("GOOGLETRANSLATE(B12, ""en"", ""vi"")"),"Cung cấp rất nhiều chỉ số chỉ số exp khi sử dụng.")</f>
        <v>Cung cấp rất nhiều chỉ số chỉ số exp khi sử dụng.</v>
      </c>
      <c r="L12" s="26" t="str">
        <f ca="1">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spans="1:28" ht="15.75" customHeight="1" x14ac:dyDescent="0.15">
      <c r="A13" s="21" t="s">
        <v>396</v>
      </c>
      <c r="B13" s="22" t="s">
        <v>397</v>
      </c>
      <c r="C13" s="23" t="str">
        <f ca="1">IFERROR(__xludf.DUMMYFUNCTION("GOOGLETRANSLATE(B13, ""en"", ""fr"")"),"Exp Orb: magie")</f>
        <v>Exp Orb: magie</v>
      </c>
      <c r="D13" s="23" t="str">
        <f ca="1">IFERROR(__xludf.DUMMYFUNCTION("GOOGLETRANSLATE(B13, ""en"", ""es"")"),"Exp orb: magia")</f>
        <v>Exp orb: magia</v>
      </c>
      <c r="E13" s="23" t="s">
        <v>398</v>
      </c>
      <c r="F13" s="23" t="str">
        <f ca="1">IFERROR(__xludf.DUMMYFUNCTION("GOOGLETRANSLATE(B13, ""en"", ""tr"")"),"Exp ORB: Büyü")</f>
        <v>Exp ORB: Büyü</v>
      </c>
      <c r="G13" s="23" t="str">
        <f ca="1">IFERROR(__xludf.DUMMYFUNCTION("GOOGLETRANSLATE(B13, ""en"", ""pt"")"),"Exp orb: magia")</f>
        <v>Exp orb: magia</v>
      </c>
      <c r="H13" s="24" t="str">
        <f ca="1">IFERROR(__xludf.DUMMYFUNCTION("GOOGLETRANSLATE(B13, ""en"", ""de"")"),"EXP-Kugel: Magie")</f>
        <v>EXP-Kugel: Magie</v>
      </c>
      <c r="I13" s="23" t="str">
        <f ca="1">IFERROR(__xludf.DUMMYFUNCTION("GOOGLETRANSLATE(B13, ""en"", ""pl"")"),"Exp Orb: Magic")</f>
        <v>Exp Orb: Magic</v>
      </c>
      <c r="J13" s="25" t="str">
        <f ca="1">IFERROR(__xludf.DUMMYFUNCTION("GOOGLETRANSLATE(B13, ""en"", ""zh"")"),"EXP ORB：魔术")</f>
        <v>EXP ORB：魔术</v>
      </c>
      <c r="K13" s="25" t="str">
        <f ca="1">IFERROR(__xludf.DUMMYFUNCTION("GOOGLETRANSLATE(B13, ""en"", ""vi"")"),"Exp orb: ma thuật")</f>
        <v>Exp orb: ma thuật</v>
      </c>
      <c r="L13" s="26" t="str">
        <f ca="1">IFERROR(__xludf.DUMMYFUNCTION("GOOGLETRANSLATE(B13, ""en"", ""hr"")"),"Exp orb: magija")</f>
        <v>Exp orb: magija</v>
      </c>
      <c r="M13" s="28"/>
      <c r="N13" s="28"/>
      <c r="O13" s="28"/>
      <c r="P13" s="28"/>
      <c r="Q13" s="28"/>
      <c r="R13" s="28"/>
      <c r="S13" s="28"/>
      <c r="T13" s="28"/>
      <c r="U13" s="28"/>
      <c r="V13" s="28"/>
      <c r="W13" s="28"/>
      <c r="X13" s="28"/>
      <c r="Y13" s="28"/>
      <c r="Z13" s="28"/>
      <c r="AA13" s="28"/>
      <c r="AB13" s="28"/>
    </row>
    <row r="14" spans="1:28" ht="15.75" customHeight="1" x14ac:dyDescent="0.15">
      <c r="A14" s="21" t="s">
        <v>399</v>
      </c>
      <c r="B14" s="22" t="s">
        <v>400</v>
      </c>
      <c r="C14" s="23" t="str">
        <f ca="1">IFERROR(__xludf.DUMMYFUNCTION("GOOGLETRANSLATE(B14, ""en"", ""fr"")"),"Donne beaucoup d'expansion magique expuls lorsqu'il est utilisé.")</f>
        <v>Donne beaucoup d'expansion magique expuls lorsqu'il est utilisé.</v>
      </c>
      <c r="D14" s="23" t="str">
        <f ca="1">IFERROR(__xludf.DUMMYFUNCTION("GOOGLETRANSLATE(B14, ""en"", ""es"")"),"Da una gran cantidad de Magic Stat Exp cuando se usa.")</f>
        <v>Da una gran cantidad de Magic Stat Exp cuando se usa.</v>
      </c>
      <c r="E14" s="23" t="s">
        <v>401</v>
      </c>
      <c r="F14" s="23" t="str">
        <f ca="1">IFERROR(__xludf.DUMMYFUNCTION("GOOGLETRANSLATE(B14, ""en"", ""tr"")"),"Kullanıldığında çok fazla sihirli stat exp verir.")</f>
        <v>Kullanıldığında çok fazla sihirli stat exp verir.</v>
      </c>
      <c r="G14" s="23" t="str">
        <f ca="1">IFERROR(__xludf.DUMMYFUNCTION("GOOGLETRANSLATE(B14, ""en"", ""pt"")"),"Dá um monte de stat Magic Exp quando usado.")</f>
        <v>Dá um monte de stat Magic Exp quando usado.</v>
      </c>
      <c r="H14" s="24" t="str">
        <f ca="1">IFERROR(__xludf.DUMMYFUNCTION("GOOGLETRANSLATE(B14, ""en"", ""de"")"),"Gibt viel Magic Stat Exp bei Verwendung an.")</f>
        <v>Gibt viel Magic Stat Exp bei Verwendung an.</v>
      </c>
      <c r="I14" s="23" t="str">
        <f ca="1">IFERROR(__xludf.DUMMYFUNCTION("GOOGLETRANSLATE(B14, ""en"", ""pl"")"),"Daje dużo magicznej statystyki, gdy jest używane.")</f>
        <v>Daje dużo magicznej statystyki, gdy jest używane.</v>
      </c>
      <c r="J14" s="25" t="str">
        <f ca="1">IFERROR(__xludf.DUMMYFUNCTION("GOOGLETRANSLATE(B14, ""en"", ""zh"")"),"使用时提供了很多魔法STAX。")</f>
        <v>使用时提供了很多魔法STAX。</v>
      </c>
      <c r="K14" s="25" t="str">
        <f ca="1">IFERROR(__xludf.DUMMYFUNCTION("GOOGLETRANSLATE(B14, ""en"", ""vi"")"),"Đưa ra rất nhiều chỉ số ma thuật exp khi sử dụng.")</f>
        <v>Đưa ra rất nhiều chỉ số ma thuật exp khi sử dụng.</v>
      </c>
      <c r="L14" s="26" t="str">
        <f ca="1">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spans="1:28" ht="15.75" customHeight="1" x14ac:dyDescent="0.15">
      <c r="A15" s="21" t="s">
        <v>402</v>
      </c>
      <c r="B15" s="22" t="s">
        <v>403</v>
      </c>
      <c r="C15" s="23" t="str">
        <f ca="1">IFERROR(__xludf.DUMMYFUNCTION("GOOGLETRANSLATE(B15, ""en"", ""fr"")"),"Exp Orb: rassemblement")</f>
        <v>Exp Orb: rassemblement</v>
      </c>
      <c r="D15" s="23" t="str">
        <f ca="1">IFERROR(__xludf.DUMMYFUNCTION("GOOGLETRANSLATE(B15, ""en"", ""es"")"),"Exp orbe: reunión")</f>
        <v>Exp orbe: reunión</v>
      </c>
      <c r="E15" s="23" t="s">
        <v>404</v>
      </c>
      <c r="F15" s="23" t="str">
        <f ca="1">IFERROR(__xludf.DUMMYFUNCTION("GOOGLETRANSLATE(B15, ""en"", ""tr"")"),"EXP ORB: Toplama")</f>
        <v>EXP ORB: Toplama</v>
      </c>
      <c r="G15" s="23" t="str">
        <f ca="1">IFERROR(__xludf.DUMMYFUNCTION("GOOGLETRANSLATE(B15, ""en"", ""pt"")"),"Exp orb: coleta")</f>
        <v>Exp orb: coleta</v>
      </c>
      <c r="H15" s="24" t="str">
        <f ca="1">IFERROR(__xludf.DUMMYFUNCTION("GOOGLETRANSLATE(B15, ""en"", ""de"")"),"EXP-Kugel: Sammeln")</f>
        <v>EXP-Kugel: Sammeln</v>
      </c>
      <c r="I15" s="23" t="str">
        <f ca="1">IFERROR(__xludf.DUMMYFUNCTION("GOOGLETRANSLATE(B15, ""en"", ""pl"")"),"Exp Orb: Grome")</f>
        <v>Exp Orb: Grome</v>
      </c>
      <c r="J15" s="25" t="str">
        <f ca="1">IFERROR(__xludf.DUMMYFUNCTION("GOOGLETRANSLATE(B15, ""en"", ""zh"")"),"EXP ORB：收集")</f>
        <v>EXP ORB：收集</v>
      </c>
      <c r="K15" s="25" t="str">
        <f ca="1">IFERROR(__xludf.DUMMYFUNCTION("GOOGLETRANSLATE(B15, ""en"", ""vi"")"),"Exp orb: thu thập")</f>
        <v>Exp orb: thu thập</v>
      </c>
      <c r="L15" s="26" t="str">
        <f ca="1">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spans="1:28" ht="15.75" customHeight="1" x14ac:dyDescent="0.15">
      <c r="A16" s="21" t="s">
        <v>405</v>
      </c>
      <c r="B16" s="22" t="s">
        <v>406</v>
      </c>
      <c r="C16" s="23" t="str">
        <f ca="1">IFERROR(__xludf.DUMMYFUNCTION("GOOGLETRANSLATE(B16, ""en"", ""fr"")"),"Donne beaucoup de rassemblement STAT ExP lorsqu'il est utilisé.")</f>
        <v>Donne beaucoup de rassemblement STAT ExP lorsqu'il est utilisé.</v>
      </c>
      <c r="D16" s="23" t="str">
        <f ca="1">IFERROR(__xludf.DUMMYFUNCTION("GOOGLETRANSLATE(B16, ""en"", ""es"")"),"Da una gran cantidad de recolección de estadísticas expiando cuando se usa.")</f>
        <v>Da una gran cantidad de recolección de estadísticas expiando cuando se usa.</v>
      </c>
      <c r="E16" s="23" t="s">
        <v>407</v>
      </c>
      <c r="F16" s="23" t="str">
        <f ca="1">IFERROR(__xludf.DUMMYFUNCTION("GOOGLETRANSLATE(B16, ""en"", ""tr"")"),"Kullanıldığında çok fazla buluşma Stath Exp verir.")</f>
        <v>Kullanıldığında çok fazla buluşma Stath Exp verir.</v>
      </c>
      <c r="G16" s="23" t="str">
        <f ca="1">IFERROR(__xludf.DUMMYFUNCTION("GOOGLETRANSLATE(B16, ""en"", ""pt"")"),"Dá um monte de coleta stat exp quando usado.")</f>
        <v>Dá um monte de coleta stat exp quando usado.</v>
      </c>
      <c r="H16" s="24" t="str">
        <f ca="1">IFERROR(__xludf.DUMMYFUNCTION("GOOGLETRANSLATE(B16, ""en"", ""de"")"),"Gibt viel Sammelstat aus, wenn er verwendet wird.")</f>
        <v>Gibt viel Sammelstat aus, wenn er verwendet wird.</v>
      </c>
      <c r="I16" s="23" t="str">
        <f ca="1">IFERROR(__xludf.DUMMYFUNCTION("GOOGLETRANSLATE(B16, ""en"", ""pl"")"),"Daje wiele zgromadzenia statystyki, gdy jest używany.")</f>
        <v>Daje wiele zgromadzenia statystyki, gdy jest używany.</v>
      </c>
      <c r="J16" s="25" t="str">
        <f ca="1">IFERROR(__xludf.DUMMYFUNCTION("GOOGLETRANSLATE(B16, ""en"", ""zh"")"),"使用时提供了很多收集STAT EXP。")</f>
        <v>使用时提供了很多收集STAT EXP。</v>
      </c>
      <c r="K16" s="25" t="str">
        <f ca="1">IFERROR(__xludf.DUMMYFUNCTION("GOOGLETRANSLATE(B16, ""en"", ""vi"")"),"Cung cấp rất nhiều chỉ số thu thập exp khi sử dụng.")</f>
        <v>Cung cấp rất nhiều chỉ số thu thập exp khi sử dụng.</v>
      </c>
      <c r="L16" s="26" t="str">
        <f ca="1">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spans="1:28" ht="15.75" customHeight="1" x14ac:dyDescent="0.15">
      <c r="A17" s="21" t="s">
        <v>408</v>
      </c>
      <c r="B17" s="22" t="s">
        <v>409</v>
      </c>
      <c r="C17" s="23" t="str">
        <f ca="1">IFERROR(__xludf.DUMMYFUNCTION("GOOGLETRANSLATE(B17, ""en"", ""fr"")"),"Exp Orb: Armes")</f>
        <v>Exp Orb: Armes</v>
      </c>
      <c r="D17" s="23" t="str">
        <f ca="1">IFERROR(__xludf.DUMMYFUNCTION("GOOGLETRANSLATE(B17, ""en"", ""es"")"),"Exp orbe: armamento")</f>
        <v>Exp orbe: armamento</v>
      </c>
      <c r="E17" s="23" t="s">
        <v>410</v>
      </c>
      <c r="F17" s="23" t="str">
        <f ca="1">IFERROR(__xludf.DUMMYFUNCTION("GOOGLETRANSLATE(B17, ""en"", ""tr"")"),"EXP ORB: Silah")</f>
        <v>EXP ORB: Silah</v>
      </c>
      <c r="G17" s="23" t="str">
        <f ca="1">IFERROR(__xludf.DUMMYFUNCTION("GOOGLETRANSLATE(B17, ""en"", ""pt"")"),"EXP Orb: armamento")</f>
        <v>EXP Orb: armamento</v>
      </c>
      <c r="H17" s="24" t="str">
        <f ca="1">IFERROR(__xludf.DUMMYFUNCTION("GOOGLETRANSLATE(B17, ""en"", ""de"")"),"EXP-Kugel: Waffen")</f>
        <v>EXP-Kugel: Waffen</v>
      </c>
      <c r="I17" s="23" t="str">
        <f ca="1">IFERROR(__xludf.DUMMYFUNCTION("GOOGLETRANSLATE(B17, ""en"", ""pl"")"),"Exp Orb: Broń")</f>
        <v>Exp Orb: Broń</v>
      </c>
      <c r="J17" s="25" t="str">
        <f ca="1">IFERROR(__xludf.DUMMYFUNCTION("GOOGLETRANSLATE(B17, ""en"", ""zh"")"),"EXP ORB：武器")</f>
        <v>EXP ORB：武器</v>
      </c>
      <c r="K17" s="25" t="str">
        <f ca="1">IFERROR(__xludf.DUMMYFUNCTION("GOOGLETRANSLATE(B17, ""en"", ""vi"")"),"Exp orb: vũ khí")</f>
        <v>Exp orb: vũ khí</v>
      </c>
      <c r="L17" s="26" t="str">
        <f ca="1">IFERROR(__xludf.DUMMYFUNCTION("GOOGLETRANSLATE(B17, ""en"", ""hr"")"),"Exp Orb: Oružje")</f>
        <v>Exp Orb: Oružje</v>
      </c>
      <c r="M17" s="28"/>
      <c r="N17" s="28"/>
      <c r="O17" s="28"/>
      <c r="P17" s="28"/>
      <c r="Q17" s="28"/>
      <c r="R17" s="28"/>
      <c r="S17" s="28"/>
      <c r="T17" s="28"/>
      <c r="U17" s="28"/>
      <c r="V17" s="28"/>
      <c r="W17" s="28"/>
      <c r="X17" s="28"/>
      <c r="Y17" s="28"/>
      <c r="Z17" s="28"/>
      <c r="AA17" s="28"/>
      <c r="AB17" s="28"/>
    </row>
    <row r="18" spans="1:28" ht="15.75" customHeight="1" x14ac:dyDescent="0.15">
      <c r="A18" s="21" t="s">
        <v>411</v>
      </c>
      <c r="B18" s="22" t="s">
        <v>412</v>
      </c>
      <c r="C18" s="23" t="str">
        <f ca="1">IFERROR(__xludf.DUMMYFUNCTION("GOOGLETRANSLATE(B18, ""en"", ""fr"")"),"Donne beaucoup d'armes Stat StatP lorsqu'il est utilisé.")</f>
        <v>Donne beaucoup d'armes Stat StatP lorsqu'il est utilisé.</v>
      </c>
      <c r="D18" s="23" t="str">
        <f ca="1">IFERROR(__xludf.DUMMYFUNCTION("GOOGLETRANSLATE(B18, ""en"", ""es"")"),"Da una gran cantidad de armas de estadía de armas cuando se usa.")</f>
        <v>Da una gran cantidad de armas de estadía de armas cuando se usa.</v>
      </c>
      <c r="E18" s="23" t="s">
        <v>413</v>
      </c>
      <c r="F18" s="23" t="str">
        <f ca="1">IFERROR(__xludf.DUMMYFUNCTION("GOOGLETRANSLATE(B18, ""en"", ""tr"")"),"Kullanıldığında çok sayıda silah stath exp verir.")</f>
        <v>Kullanıldığında çok sayıda silah stath exp verir.</v>
      </c>
      <c r="G18" s="23" t="str">
        <f ca="1">IFERROR(__xludf.DUMMYFUNCTION("GOOGLETRANSLATE(B18, ""en"", ""pt"")"),"Dá um monte de estatísticas de armamento Exp quando usado.")</f>
        <v>Dá um monte de estatísticas de armamento Exp quando usado.</v>
      </c>
      <c r="H18" s="24" t="str">
        <f ca="1">IFERROR(__xludf.DUMMYFUNCTION("GOOGLETRANSLATE(B18, ""en"", ""de"")"),"Gibt viel Waffenstat aus, wenn Sie verwendet werden.")</f>
        <v>Gibt viel Waffenstat aus, wenn Sie verwendet werden.</v>
      </c>
      <c r="I18" s="23" t="str">
        <f ca="1">IFERROR(__xludf.DUMMYFUNCTION("GOOGLETRANSLATE(B18, ""en"", ""pl"")"),"Daje dużo statystyki broni, gdy jest używane.")</f>
        <v>Daje dużo statystyki broni, gdy jest używane.</v>
      </c>
      <c r="J18" s="25" t="str">
        <f ca="1">IFERROR(__xludf.DUMMYFUNCTION("GOOGLETRANSLATE(B18, ""en"", ""zh"")"),"使用时提供了许多武器统计数据exp。")</f>
        <v>使用时提供了许多武器统计数据exp。</v>
      </c>
      <c r="K18" s="25" t="str">
        <f ca="1">IFERROR(__xludf.DUMMYFUNCTION("GOOGLETRANSLATE(B18, ""en"", ""vi"")"),"Cho rất nhiều chỉ số vũ khí exp khi sử dụng.")</f>
        <v>Cho rất nhiều chỉ số vũ khí exp khi sử dụng.</v>
      </c>
      <c r="L18" s="26" t="str">
        <f ca="1">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spans="1:28" ht="15.75" customHeight="1" x14ac:dyDescent="0.15">
      <c r="A19" s="21" t="s">
        <v>414</v>
      </c>
      <c r="B19" s="22" t="s">
        <v>415</v>
      </c>
      <c r="C19" s="23" t="str">
        <f ca="1">IFERROR(__xludf.DUMMYFUNCTION("GOOGLETRANSLATE(B19, ""en"", ""fr"")"),"EXP Orb: Armoire")</f>
        <v>EXP Orb: Armoire</v>
      </c>
      <c r="D19" s="23" t="str">
        <f ca="1">IFERROR(__xludf.DUMMYFUNCTION("GOOGLETRANSLATE(B19, ""en"", ""es"")"),"Exp orb: armorio")</f>
        <v>Exp orb: armorio</v>
      </c>
      <c r="E19" s="23" t="s">
        <v>416</v>
      </c>
      <c r="F19" s="23" t="str">
        <f ca="1">IFERROR(__xludf.DUMMYFUNCTION("GOOGLETRANSLATE(B19, ""en"", ""tr"")"),"EXP ORB: Zırh")</f>
        <v>EXP ORB: Zırh</v>
      </c>
      <c r="G19" s="23" t="str">
        <f ca="1">IFERROR(__xludf.DUMMYFUNCTION("GOOGLETRANSLATE(B19, ""en"", ""pt"")"),"EXP Orb: Armory")</f>
        <v>EXP Orb: Armory</v>
      </c>
      <c r="H19" s="24" t="str">
        <f ca="1">IFERROR(__xludf.DUMMYFUNCTION("GOOGLETRANSLATE(B19, ""en"", ""de"")"),"EXP-Kugel: Waffenkammer")</f>
        <v>EXP-Kugel: Waffenkammer</v>
      </c>
      <c r="I19" s="23" t="str">
        <f ca="1">IFERROR(__xludf.DUMMYFUNCTION("GOOGLETRANSLATE(B19, ""en"", ""pl"")"),"Exp Orb: Armory")</f>
        <v>Exp Orb: Armory</v>
      </c>
      <c r="J19" s="25" t="str">
        <f ca="1">IFERROR(__xludf.DUMMYFUNCTION("GOOGLETRANSLATE(B19, ""en"", ""zh"")"),"EXP ORB：军械库")</f>
        <v>EXP ORB：军械库</v>
      </c>
      <c r="K19" s="25" t="str">
        <f ca="1">IFERROR(__xludf.DUMMYFUNCTION("GOOGLETRANSLATE(B19, ""en"", ""vi"")"),"Exp Orb: Armory")</f>
        <v>Exp Orb: Armory</v>
      </c>
      <c r="L19" s="26" t="str">
        <f ca="1">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spans="1:28" ht="15.75" customHeight="1" x14ac:dyDescent="0.15">
      <c r="A20" s="21" t="s">
        <v>417</v>
      </c>
      <c r="B20" s="22" t="s">
        <v>418</v>
      </c>
      <c r="C20" s="23" t="str">
        <f ca="1">IFERROR(__xludf.DUMMYFUNCTION("GOOGLETRANSLATE(B20, ""en"", ""fr"")"),"Donne beaucoup d'armurerie Stat Exp lorsqu'il est utilisé.")</f>
        <v>Donne beaucoup d'armurerie Stat Exp lorsqu'il est utilisé.</v>
      </c>
      <c r="D20" s="23" t="str">
        <f ca="1">IFERROR(__xludf.DUMMYFUNCTION("GOOGLETRANSLATE(B20, ""en"", ""es"")"),"Da una gran cantidad de expresión de estadísticas de armería cuando se usa.")</f>
        <v>Da una gran cantidad de expresión de estadísticas de armería cuando se usa.</v>
      </c>
      <c r="E20" s="23" t="s">
        <v>419</v>
      </c>
      <c r="F20" s="23" t="str">
        <f ca="1">IFERROR(__xludf.DUMMYFUNCTION("GOOGLETRANSLATE(B20, ""en"", ""tr"")"),"Kullanıldığında çok fazla Cephane Stath Exp verir.")</f>
        <v>Kullanıldığında çok fazla Cephane Stath Exp verir.</v>
      </c>
      <c r="G20" s="23" t="str">
        <f ca="1">IFERROR(__xludf.DUMMYFUNCTION("GOOGLETRANSLATE(B20, ""en"", ""pt"")"),"Dá um monte de arsenal st Exp quando usado.")</f>
        <v>Dá um monte de arsenal st Exp quando usado.</v>
      </c>
      <c r="H20" s="24" t="str">
        <f ca="1">IFERROR(__xludf.DUMMYFUNCTION("GOOGLETRANSLATE(B20, ""en"", ""de"")"),"Gibt viel Rüstungsstat aus, wenn Sie verwendet werden.")</f>
        <v>Gibt viel Rüstungsstat aus, wenn Sie verwendet werden.</v>
      </c>
      <c r="I20" s="23" t="str">
        <f ca="1">IFERROR(__xludf.DUMMYFUNCTION("GOOGLETRANSLATE(B20, ""en"", ""pl"")"),"Daje dużo statystyk zbrojowych, gdy jest używany.")</f>
        <v>Daje dużo statystyk zbrojowych, gdy jest używany.</v>
      </c>
      <c r="J20" s="25" t="str">
        <f ca="1">IFERROR(__xludf.DUMMYFUNCTION("GOOGLETRANSLATE(B20, ""en"", ""zh"")"),"使用时提供了很多军械库stat exp。")</f>
        <v>使用时提供了很多军械库stat exp。</v>
      </c>
      <c r="K20" s="25" t="str">
        <f ca="1">IFERROR(__xludf.DUMMYFUNCTION("GOOGLETRANSLATE(B20, ""en"", ""vi"")"),"Cho rất nhiều stat uncor exp khi sử dụng.")</f>
        <v>Cho rất nhiều stat uncor exp khi sử dụng.</v>
      </c>
      <c r="L20" s="26" t="str">
        <f ca="1">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spans="1:28" ht="15.75" customHeight="1" x14ac:dyDescent="0.15">
      <c r="A21" s="21" t="s">
        <v>420</v>
      </c>
      <c r="B21" s="22" t="s">
        <v>421</v>
      </c>
      <c r="C21" s="23" t="str">
        <f ca="1">IFERROR(__xludf.DUMMYFUNCTION("GOOGLETRANSLATE(B21, ""en"", ""fr"")"),"EXP ORB: TOIILLEURS")</f>
        <v>EXP ORB: TOIILLEURS</v>
      </c>
      <c r="D21" s="23" t="str">
        <f ca="1">IFERROR(__xludf.DUMMYFUNCTION("GOOGLETRANSLATE(B21, ""en"", ""es"")"),"EXP ORB: LAS TERRAERIALES")</f>
        <v>EXP ORB: LAS TERRAERIALES</v>
      </c>
      <c r="E21" s="23" t="s">
        <v>422</v>
      </c>
      <c r="F21" s="23" t="str">
        <f ca="1">IFERROR(__xludf.DUMMYFUNCTION("GOOGLETRANSLATE(B21, ""en"", ""tr"")"),"EXP ORB: Alet")</f>
        <v>EXP ORB: Alet</v>
      </c>
      <c r="G21" s="23" t="str">
        <f ca="1">IFERROR(__xludf.DUMMYFUNCTION("GOOGLETRANSLATE(B21, ""en"", ""pt"")"),"EXP Orb: Tokerery")</f>
        <v>EXP Orb: Tokerery</v>
      </c>
      <c r="H21" s="24" t="str">
        <f ca="1">IFERROR(__xludf.DUMMYFUNCTION("GOOGLETRANSLATE(B21, ""en"", ""de"")"),"EXP-Kugel: Toolerei")</f>
        <v>EXP-Kugel: Toolerei</v>
      </c>
      <c r="I21" s="23" t="str">
        <f ca="1">IFERROR(__xludf.DUMMYFUNCTION("GOOGLETRANSLATE(B21, ""en"", ""pl"")"),"Exp ORB: Toolery")</f>
        <v>Exp ORB: Toolery</v>
      </c>
      <c r="J21" s="25" t="str">
        <f ca="1">IFERROR(__xludf.DUMMYFUNCTION("GOOGLETRANSLATE(B21, ""en"", ""zh"")"),"EXP ORB：工具")</f>
        <v>EXP ORB：工具</v>
      </c>
      <c r="K21" s="25" t="str">
        <f ca="1">IFERROR(__xludf.DUMMYFUNCTION("GOOGLETRANSLATE(B21, ""en"", ""vi"")"),"Exp orb: công cụ")</f>
        <v>Exp orb: công cụ</v>
      </c>
      <c r="L21" s="26" t="str">
        <f ca="1">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spans="1:28" ht="15.75" customHeight="1" x14ac:dyDescent="0.15">
      <c r="A22" s="21" t="s">
        <v>423</v>
      </c>
      <c r="B22" s="22" t="s">
        <v>424</v>
      </c>
      <c r="C22" s="23" t="str">
        <f ca="1">IFERROR(__xludf.DUMMYFUNCTION("GOOGLETRANSLATE(B22, ""en"", ""fr"")"),"Donne beaucoup d'outils d'outils STATSP lorsqu'il est utilisé.")</f>
        <v>Donne beaucoup d'outils d'outils STATSP lorsqu'il est utilisé.</v>
      </c>
      <c r="D22" s="23" t="str">
        <f ca="1">IFERROR(__xludf.DUMMYFUNCTION("GOOGLETRANSLATE(B22, ""en"", ""es"")"),"Da una gran cantidad de estadísticas de la herramienta EXP cuando se usa.")</f>
        <v>Da una gran cantidad de estadísticas de la herramienta EXP cuando se usa.</v>
      </c>
      <c r="E22" s="23" t="s">
        <v>425</v>
      </c>
      <c r="F22" s="23" t="str">
        <f ca="1">IFERROR(__xludf.DUMMYFUNCTION("GOOGLETRANSLATE(B22, ""en"", ""tr"")"),"Kullanıldığında çok sayıda araç Stath Exp verir.")</f>
        <v>Kullanıldığında çok sayıda araç Stath Exp verir.</v>
      </c>
      <c r="G22" s="23" t="str">
        <f ca="1">IFERROR(__xludf.DUMMYFUNCTION("GOOGLETRANSLATE(B22, ""en"", ""pt"")"),"Dá um monte de estúdio de ferramentas Exp quando usado.")</f>
        <v>Dá um monte de estúdio de ferramentas Exp quando usado.</v>
      </c>
      <c r="H22" s="24" t="str">
        <f ca="1">IFERROR(__xludf.DUMMYFUNCTION("GOOGLETRANSLATE(B22, ""en"", ""de"")"),"Gibt viel Colory Stat Exp bei Verwendung an.")</f>
        <v>Gibt viel Colory Stat Exp bei Verwendung an.</v>
      </c>
      <c r="I22" s="23" t="str">
        <f ca="1">IFERROR(__xludf.DUMMYFUNCTION("GOOGLETRANSLATE(B22, ""en"", ""pl"")"),"Daje dużo statystyki narzędzi, gdy jest używane.")</f>
        <v>Daje dużo statystyki narzędzi, gdy jest używane.</v>
      </c>
      <c r="J22" s="25" t="str">
        <f ca="1">IFERROR(__xludf.DUMMYFUNCTION("GOOGLETRANSLATE(B22, ""en"", ""zh"")"),"使用时提供了很多工具统计数据exp。")</f>
        <v>使用时提供了很多工具统计数据exp。</v>
      </c>
      <c r="K22" s="25" t="str">
        <f ca="1">IFERROR(__xludf.DUMMYFUNCTION("GOOGLETRANSLATE(B22, ""en"", ""vi"")"),"Cung cấp rất nhiều chỉ số công cụ exp khi sử dụng.")</f>
        <v>Cung cấp rất nhiều chỉ số công cụ exp khi sử dụng.</v>
      </c>
      <c r="L22" s="26" t="str">
        <f ca="1">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spans="1:28" ht="15.75" customHeight="1" x14ac:dyDescent="0.15">
      <c r="A23" s="21" t="s">
        <v>426</v>
      </c>
      <c r="B23" s="22" t="s">
        <v>427</v>
      </c>
      <c r="C23" s="23" t="str">
        <f ca="1">IFERROR(__xludf.DUMMYFUNCTION("GOOGLETRANSLATE(B23, ""en"", ""fr"")"),"Exp Orb: Potionry")</f>
        <v>Exp Orb: Potionry</v>
      </c>
      <c r="D23" s="23" t="str">
        <f ca="1">IFERROR(__xludf.DUMMYFUNCTION("GOOGLETRANSLATE(B23, ""en"", ""es"")"),"Exp orb: Potión")</f>
        <v>Exp orb: Potión</v>
      </c>
      <c r="E23" s="23" t="s">
        <v>428</v>
      </c>
      <c r="F23" s="23" t="str">
        <f ca="1">IFERROR(__xludf.DUMMYFUNCTION("GOOGLETRANSLATE(B23, ""en"", ""tr"")"),"Exp ORB: İksulü")</f>
        <v>Exp ORB: İksulü</v>
      </c>
      <c r="G23" s="23" t="str">
        <f ca="1">IFERROR(__xludf.DUMMYFUNCTION("GOOGLETRANSLATE(B23, ""en"", ""pt"")"),"Exp orb: poionry")</f>
        <v>Exp orb: poionry</v>
      </c>
      <c r="H23" s="24" t="str">
        <f ca="1">IFERROR(__xludf.DUMMYFUNCTION("GOOGLETRANSLATE(B23, ""en"", ""de"")"),"EXP-Kugel: Potionry")</f>
        <v>EXP-Kugel: Potionry</v>
      </c>
      <c r="I23" s="23" t="str">
        <f ca="1">IFERROR(__xludf.DUMMYFUNCTION("GOOGLETRANSLATE(B23, ""en"", ""pl"")"),"Exp Orb: Mikstlub")</f>
        <v>Exp Orb: Mikstlub</v>
      </c>
      <c r="J23" s="25" t="str">
        <f ca="1">IFERROR(__xludf.DUMMYFUNCTION("GOOGLETRANSLATE(B23, ""en"", ""zh"")"),"EXP ORB：药水")</f>
        <v>EXP ORB：药水</v>
      </c>
      <c r="K23" s="25" t="str">
        <f ca="1">IFERROR(__xludf.DUMMYFUNCTION("GOOGLETRANSLATE(B23, ""en"", ""vi"")"),"Exp orb: potionry")</f>
        <v>Exp orb: potionry</v>
      </c>
      <c r="L23" s="26" t="str">
        <f ca="1">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spans="1:28" ht="15.75" customHeight="1" x14ac:dyDescent="0.15">
      <c r="A24" s="21" t="s">
        <v>429</v>
      </c>
      <c r="B24" s="22" t="s">
        <v>430</v>
      </c>
      <c r="C24" s="23" t="str">
        <f ca="1">IFERROR(__xludf.DUMMYFUNCTION("GOOGLETRANSLATE(B24, ""en"", ""fr"")"),"Donne beaucoup de potionry stat exp")</f>
        <v>Donne beaucoup de potionry stat exp</v>
      </c>
      <c r="D24" s="23" t="str">
        <f ca="1">IFERROR(__xludf.DUMMYFUNCTION("GOOGLETRANSLATE(B24, ""en"", ""es"")"),"Da una gran cantidad de Potión de EXPM cuando se usa.")</f>
        <v>Da una gran cantidad de Potión de EXPM cuando se usa.</v>
      </c>
      <c r="E24" s="23" t="s">
        <v>431</v>
      </c>
      <c r="F24" s="23" t="str">
        <f ca="1">IFERROR(__xludf.DUMMYFUNCTION("GOOGLETRANSLATE(B24, ""en"", ""tr"")"),"Kullanıldığında çok fazla çelişki stath exp verir.")</f>
        <v>Kullanıldığında çok fazla çelişki stath exp verir.</v>
      </c>
      <c r="G24" s="23" t="str">
        <f ca="1">IFERROR(__xludf.DUMMYFUNCTION("GOOGLETRANSLATE(B24, ""en"", ""pt"")"),"Dá um monte de potionry stat Exp quando usado.")</f>
        <v>Dá um monte de potionry stat Exp quando usado.</v>
      </c>
      <c r="H24" s="24" t="str">
        <f ca="1">IFERROR(__xludf.DUMMYFUNCTION("GOOGLETRANSLATE(B24, ""en"", ""de"")"),"Gibt viel Potionry Stat Exp bei Verwendung an.")</f>
        <v>Gibt viel Potionry Stat Exp bei Verwendung an.</v>
      </c>
      <c r="I24" s="23" t="str">
        <f ca="1">IFERROR(__xludf.DUMMYFUNCTION("GOOGLETRANSLATE(B24, ""en"", ""pl"")"),"Daje dużo statystyki, gdy jest używany.")</f>
        <v>Daje dużo statystyki, gdy jest używany.</v>
      </c>
      <c r="J24" s="25" t="str">
        <f ca="1">IFERROR(__xludf.DUMMYFUNCTION("GOOGLETRANSLATE(B24, ""en"", ""zh"")"),"使用时提供了很多药水统计毒危机。")</f>
        <v>使用时提供了很多药水统计毒危机。</v>
      </c>
      <c r="K24" s="25" t="str">
        <f ca="1">IFERROR(__xludf.DUMMYFUNCTION("GOOGLETRANSLATE(B24, ""en"", ""vi"")"),"Cho rất nhiều stat potionry khi sử dụng.")</f>
        <v>Cho rất nhiều stat potionry khi sử dụng.</v>
      </c>
      <c r="L24" s="26" t="str">
        <f ca="1">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spans="1:28" ht="15.75" customHeight="1" x14ac:dyDescent="0.15">
      <c r="A25" s="21" t="s">
        <v>432</v>
      </c>
      <c r="B25" s="22" t="s">
        <v>433</v>
      </c>
      <c r="C25" s="23" t="str">
        <f ca="1">IFERROR(__xludf.DUMMYFUNCTION("GOOGLETRANSLATE(B25, ""en"", ""fr"")"),"Gloire orbe")</f>
        <v>Gloire orbe</v>
      </c>
      <c r="D25" s="23" t="str">
        <f ca="1">IFERROR(__xludf.DUMMYFUNCTION("GOOGLETRANSLATE(B25, ""en"", ""es"")"),"Orbe de gloria")</f>
        <v>Orbe de gloria</v>
      </c>
      <c r="E25" s="23" t="s">
        <v>434</v>
      </c>
      <c r="F25" s="23" t="str">
        <f ca="1">IFERROR(__xludf.DUMMYFUNCTION("GOOGLETRANSLATE(B25, ""en"", ""tr"")"),"Zafer orb")</f>
        <v>Zafer orb</v>
      </c>
      <c r="G25" s="23" t="str">
        <f ca="1">IFERROR(__xludf.DUMMYFUNCTION("GOOGLETRANSLATE(B25, ""en"", ""pt"")"),"Glória orb.")</f>
        <v>Glória orb.</v>
      </c>
      <c r="H25" s="24" t="str">
        <f ca="1">IFERROR(__xludf.DUMMYFUNCTION("GOOGLETRANSLATE(B25, ""en"", ""de"")"),"Ruhmorb.")</f>
        <v>Ruhmorb.</v>
      </c>
      <c r="I25" s="23" t="str">
        <f ca="1">IFERROR(__xludf.DUMMYFUNCTION("GOOGLETRANSLATE(B25, ""en"", ""pl"")"),"Glory Orb.")</f>
        <v>Glory Orb.</v>
      </c>
      <c r="J25" s="25" t="str">
        <f ca="1">IFERROR(__xludf.DUMMYFUNCTION("GOOGLETRANSLATE(B25, ""en"", ""zh"")"),"荣耀草")</f>
        <v>荣耀草</v>
      </c>
      <c r="K25" s="25" t="str">
        <f ca="1">IFERROR(__xludf.DUMMYFUNCTION("GOOGLETRANSLATE(B25, ""en"", ""vi"")"),"Glory Orb.")</f>
        <v>Glory Orb.</v>
      </c>
      <c r="L25" s="26" t="str">
        <f ca="1">IFERROR(__xludf.DUMMYFUNCTION("GOOGLETRANSLATE(B25, ""en"", ""hr"")"),"Slava orb")</f>
        <v>Slava orb</v>
      </c>
      <c r="M25" s="28"/>
      <c r="N25" s="28"/>
      <c r="O25" s="28"/>
      <c r="P25" s="28"/>
      <c r="Q25" s="28"/>
      <c r="R25" s="28"/>
      <c r="S25" s="28"/>
      <c r="T25" s="28"/>
      <c r="U25" s="28"/>
      <c r="V25" s="28"/>
      <c r="W25" s="28"/>
      <c r="X25" s="28"/>
      <c r="Y25" s="28"/>
      <c r="Z25" s="28"/>
      <c r="AA25" s="28"/>
      <c r="AB25" s="28"/>
    </row>
    <row r="26" spans="1:28" ht="15.75" customHeight="1" x14ac:dyDescent="0.15">
      <c r="A26" s="21" t="s">
        <v>435</v>
      </c>
      <c r="B26" s="22" t="s">
        <v>436</v>
      </c>
      <c r="C26" s="23" t="str">
        <f ca="1">IFERROR(__xludf.DUMMYFUNCTION("GOOGLETRANSLATE(B26, ""en"", ""fr"")"),"Donne beaucoup de gloire lorsqu'il est utilisé.")</f>
        <v>Donne beaucoup de gloire lorsqu'il est utilisé.</v>
      </c>
      <c r="D26" s="23" t="str">
        <f ca="1">IFERROR(__xludf.DUMMYFUNCTION("GOOGLETRANSLATE(B26, ""en"", ""es"")"),"Da mucha gloria cuando se usa.")</f>
        <v>Da mucha gloria cuando se usa.</v>
      </c>
      <c r="E26" s="23" t="s">
        <v>437</v>
      </c>
      <c r="F26" s="23" t="str">
        <f ca="1">IFERROR(__xludf.DUMMYFUNCTION("GOOGLETRANSLATE(B26, ""en"", ""tr"")"),"Kullanıldığında çok zafer verir.")</f>
        <v>Kullanıldığında çok zafer verir.</v>
      </c>
      <c r="G26" s="23" t="str">
        <f ca="1">IFERROR(__xludf.DUMMYFUNCTION("GOOGLETRANSLATE(B26, ""en"", ""pt"")"),"Dá muita glória quando usada.")</f>
        <v>Dá muita glória quando usada.</v>
      </c>
      <c r="H26" s="24" t="str">
        <f ca="1">IFERROR(__xludf.DUMMYFUNCTION("GOOGLETRANSLATE(B26, ""en"", ""de"")"),"Gibt viel Ruhm, wenn sie verwendet wird.")</f>
        <v>Gibt viel Ruhm, wenn sie verwendet wird.</v>
      </c>
      <c r="I26" s="23" t="str">
        <f ca="1">IFERROR(__xludf.DUMMYFUNCTION("GOOGLETRANSLATE(B26, ""en"", ""pl"")"),"Daje dużo chwały, gdy jest używany.")</f>
        <v>Daje dużo chwały, gdy jest używany.</v>
      </c>
      <c r="J26" s="25" t="str">
        <f ca="1">IFERROR(__xludf.DUMMYFUNCTION("GOOGLETRANSLATE(B26, ""en"", ""zh"")"),"使用时提供了很多荣耀。")</f>
        <v>使用时提供了很多荣耀。</v>
      </c>
      <c r="K26" s="25" t="str">
        <f ca="1">IFERROR(__xludf.DUMMYFUNCTION("GOOGLETRANSLATE(B26, ""en"", ""vi"")"),"Cho rất nhiều vinh quang khi sử dụng.")</f>
        <v>Cho rất nhiều vinh quang khi sử dụng.</v>
      </c>
      <c r="L26" s="26" t="str">
        <f ca="1">IFERROR(__xludf.DUMMYFUNCTION("GOOGLETRANSLATE(B26, ""en"", ""hr"")"),"Daje mnogo slave kad se koristi.")</f>
        <v>Daje mnogo slave kad se koristi.</v>
      </c>
      <c r="M26" s="28"/>
      <c r="N26" s="28"/>
      <c r="O26" s="28"/>
      <c r="P26" s="28"/>
      <c r="Q26" s="28"/>
      <c r="R26" s="28"/>
      <c r="S26" s="28"/>
      <c r="T26" s="28"/>
      <c r="U26" s="28"/>
      <c r="V26" s="28"/>
      <c r="W26" s="28"/>
      <c r="X26" s="28"/>
      <c r="Y26" s="28"/>
      <c r="Z26" s="28"/>
      <c r="AA26" s="28"/>
      <c r="AB26" s="28"/>
    </row>
    <row r="27" spans="1:28" ht="15.75" customHeight="1" x14ac:dyDescent="0.15">
      <c r="A27" s="21" t="s">
        <v>438</v>
      </c>
      <c r="B27" s="22" t="s">
        <v>439</v>
      </c>
      <c r="C27" s="23" t="str">
        <f ca="1">IFERROR(__xludf.DUMMYFUNCTION("GOOGLETRANSLATE(B27, ""en"", ""fr"")"),"Tiny Boot Box")</f>
        <v>Tiny Boot Box</v>
      </c>
      <c r="D27" s="23" t="str">
        <f ca="1">IFERROR(__xludf.DUMMYFUNCTION("GOOGLETRANSLATE(B27, ""en"", ""es"")"),"Caja de botín diminuta")</f>
        <v>Caja de botín diminuta</v>
      </c>
      <c r="E27" s="23" t="str">
        <f ca="1">IFERROR(__xludf.DUMMYFUNCTION("GOOGLETRANSLATE(B27, ""en"", ""ru"")"),"Крошечная лотная коробка")</f>
        <v>Крошечная лотная коробка</v>
      </c>
      <c r="F27" s="23" t="str">
        <f ca="1">IFERROR(__xludf.DUMMYFUNCTION("GOOGLETRANSLATE(B27, ""en"", ""tr"")"),"Minik yağma kutusu")</f>
        <v>Minik yağma kutusu</v>
      </c>
      <c r="G27" s="23" t="str">
        <f ca="1">IFERROR(__xludf.DUMMYFUNCTION("GOOGLETRANSLATE(B27, ""en"", ""pt"")"),"Pequena caixa de saque")</f>
        <v>Pequena caixa de saque</v>
      </c>
      <c r="H27" s="24" t="str">
        <f ca="1">IFERROR(__xludf.DUMMYFUNCTION("GOOGLETRANSLATE(B27, ""en"", ""de"")"),"Winzige Beutekiste")</f>
        <v>Winzige Beutekiste</v>
      </c>
      <c r="I27" s="23" t="str">
        <f ca="1">IFERROR(__xludf.DUMMYFUNCTION("GOOGLETRANSLATE(B27, ""en"", ""pl"")"),"Tiny Loot Box.")</f>
        <v>Tiny Loot Box.</v>
      </c>
      <c r="J27" s="25" t="str">
        <f ca="1">IFERROR(__xludf.DUMMYFUNCTION("GOOGLETRANSLATE(B27, ""en"", ""zh"")"),"微小的战利盒子")</f>
        <v>微小的战利盒子</v>
      </c>
      <c r="K27" s="25" t="str">
        <f ca="1">IFERROR(__xludf.DUMMYFUNCTION("GOOGLETRANSLATE(B27, ""en"", ""vi"")"),"Hộp loot nhỏ")</f>
        <v>Hộp loot nhỏ</v>
      </c>
      <c r="L27" s="26" t="str">
        <f ca="1">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spans="1:28" ht="15.75" customHeight="1" x14ac:dyDescent="0.15">
      <c r="A28" s="21" t="s">
        <v>440</v>
      </c>
      <c r="B28" s="22" t="s">
        <v>441</v>
      </c>
      <c r="C28" s="23" t="str">
        <f ca="1">IFERROR(__xludf.DUMMYFUNCTION("GOOGLETRANSLATE(B28, ""en"", ""fr"")"),"Donne 1 élément aléatoire lorsqu'il est utilisé.")</f>
        <v>Donne 1 élément aléatoire lorsqu'il est utilisé.</v>
      </c>
      <c r="D28" s="23" t="str">
        <f ca="1">IFERROR(__xludf.DUMMYFUNCTION("GOOGLETRANSLATE(B28, ""en"", ""es"")"),"Da 1 artículo al azar cuando se usa.")</f>
        <v>Da 1 artículo al azar cuando se usa.</v>
      </c>
      <c r="E28" s="23" t="str">
        <f ca="1">IFERROR(__xludf.DUMMYFUNCTION("GOOGLETRANSLATE(B28, ""en"", ""ru"")"),"Дает 1 случайный элемент при использовании.")</f>
        <v>Дает 1 случайный элемент при использовании.</v>
      </c>
      <c r="F28" s="23" t="str">
        <f ca="1">IFERROR(__xludf.DUMMYFUNCTION("GOOGLETRANSLATE(B28, ""en"", ""tr"")"),"Kullanıldığında 1 rastgele madde verir.")</f>
        <v>Kullanıldığında 1 rastgele madde verir.</v>
      </c>
      <c r="G28" s="23" t="str">
        <f ca="1">IFERROR(__xludf.DUMMYFUNCTION("GOOGLETRANSLATE(B28, ""en"", ""pt"")"),"Dá 1 item aleatório quando usado.")</f>
        <v>Dá 1 item aleatório quando usado.</v>
      </c>
      <c r="H28" s="24" t="str">
        <f ca="1">IFERROR(__xludf.DUMMYFUNCTION("GOOGLETRANSLATE(B28, ""en"", ""de"")"),"Gibt 1 zufällige Artikel bei Verwendung an.")</f>
        <v>Gibt 1 zufällige Artikel bei Verwendung an.</v>
      </c>
      <c r="I28" s="23" t="str">
        <f ca="1">IFERROR(__xludf.DUMMYFUNCTION("GOOGLETRANSLATE(B28, ""en"", ""pl"")"),"Daje 1 losowy element, gdy jest używany.")</f>
        <v>Daje 1 losowy element, gdy jest używany.</v>
      </c>
      <c r="J28" s="25" t="str">
        <f ca="1">IFERROR(__xludf.DUMMYFUNCTION("GOOGLETRANSLATE(B28, ""en"", ""zh"")"),"使用时提供1个随机项目。")</f>
        <v>使用时提供1个随机项目。</v>
      </c>
      <c r="K28" s="25" t="str">
        <f ca="1">IFERROR(__xludf.DUMMYFUNCTION("GOOGLETRANSLATE(B28, ""en"", ""vi"")"),"Cung cấp 1 mục ngẫu nhiên khi sử dụng.")</f>
        <v>Cung cấp 1 mục ngẫu nhiên khi sử dụng.</v>
      </c>
      <c r="L28" s="26" t="str">
        <f ca="1">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spans="1:28" ht="15.75" customHeight="1" x14ac:dyDescent="0.15">
      <c r="A29" s="21" t="s">
        <v>442</v>
      </c>
      <c r="B29" s="22" t="s">
        <v>443</v>
      </c>
      <c r="C29" s="23" t="str">
        <f ca="1">IFERROR(__xludf.DUMMYFUNCTION("GOOGLETRANSLATE(B29, ""en"", ""fr"")"),"Petite boîte à butin")</f>
        <v>Petite boîte à butin</v>
      </c>
      <c r="D29" s="23" t="str">
        <f ca="1">IFERROR(__xludf.DUMMYFUNCTION("GOOGLETRANSLATE(B29, ""en"", ""es"")"),"Caja de botín pequeño")</f>
        <v>Caja de botín pequeño</v>
      </c>
      <c r="E29" s="23" t="str">
        <f ca="1">IFERROR(__xludf.DUMMYFUNCTION("GOOGLETRANSLATE(B29, ""en"", ""ru"")"),"Маленькая добыча")</f>
        <v>Маленькая добыча</v>
      </c>
      <c r="F29" s="23" t="str">
        <f ca="1">IFERROR(__xludf.DUMMYFUNCTION("GOOGLETRANSLATE(B29, ""en"", ""tr"")"),"Küçük yağma kutusu")</f>
        <v>Küçük yağma kutusu</v>
      </c>
      <c r="G29" s="23" t="str">
        <f ca="1">IFERROR(__xludf.DUMMYFUNCTION("GOOGLETRANSLATE(B29, ""en"", ""pt"")"),"Pequena caixa de saque")</f>
        <v>Pequena caixa de saque</v>
      </c>
      <c r="H29" s="24" t="str">
        <f ca="1">IFERROR(__xludf.DUMMYFUNCTION("GOOGLETRANSLATE(B29, ""en"", ""de"")"),"Kleine Beutekiste")</f>
        <v>Kleine Beutekiste</v>
      </c>
      <c r="I29" s="23" t="str">
        <f ca="1">IFERROR(__xludf.DUMMYFUNCTION("GOOGLETRANSLATE(B29, ""en"", ""pl"")"),"Małe pudełko do łupów")</f>
        <v>Małe pudełko do łupów</v>
      </c>
      <c r="J29" s="25" t="str">
        <f ca="1">IFERROR(__xludf.DUMMYFUNCTION("GOOGLETRANSLATE(B29, ""en"", ""zh"")"),"小战利盒")</f>
        <v>小战利盒</v>
      </c>
      <c r="K29" s="25" t="str">
        <f ca="1">IFERROR(__xludf.DUMMYFUNCTION("GOOGLETRANSLATE(B29, ""en"", ""vi"")"),"Hộp loot nhỏ")</f>
        <v>Hộp loot nhỏ</v>
      </c>
      <c r="L29" s="26" t="str">
        <f ca="1">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spans="1:28" ht="15.75" customHeight="1" x14ac:dyDescent="0.15">
      <c r="A30" s="21" t="s">
        <v>444</v>
      </c>
      <c r="B30" s="22" t="s">
        <v>445</v>
      </c>
      <c r="C30" s="23" t="str">
        <f ca="1">IFERROR(__xludf.DUMMYFUNCTION("GOOGLETRANSLATE(B30, ""en"", ""fr"")"),"Donne 2 éléments aléatoires lorsqu'ils sont utilisés.")</f>
        <v>Donne 2 éléments aléatoires lorsqu'ils sont utilisés.</v>
      </c>
      <c r="D30" s="23" t="str">
        <f ca="1">IFERROR(__xludf.DUMMYFUNCTION("GOOGLETRANSLATE(B30, ""en"", ""es"")"),"Da 2 artículos al azar cuando se usan.")</f>
        <v>Da 2 artículos al azar cuando se usan.</v>
      </c>
      <c r="E30" s="23" t="str">
        <f ca="1">IFERROR(__xludf.DUMMYFUNCTION("GOOGLETRANSLATE(B30, ""en"", ""ru"")"),"Дает 2 случайных предмета при использовании.")</f>
        <v>Дает 2 случайных предмета при использовании.</v>
      </c>
      <c r="F30" s="23" t="str">
        <f ca="1">IFERROR(__xludf.DUMMYFUNCTION("GOOGLETRANSLATE(B30, ""en"", ""tr"")"),"Kullanıldığında 2 rastgele madde verir.")</f>
        <v>Kullanıldığında 2 rastgele madde verir.</v>
      </c>
      <c r="G30" s="23" t="str">
        <f ca="1">IFERROR(__xludf.DUMMYFUNCTION("GOOGLETRANSLATE(B30, ""en"", ""pt"")"),"Dá 2 itens aleatórios quando usados.")</f>
        <v>Dá 2 itens aleatórios quando usados.</v>
      </c>
      <c r="H30" s="24" t="str">
        <f ca="1">IFERROR(__xludf.DUMMYFUNCTION("GOOGLETRANSLATE(B30, ""en"", ""de"")"),"Gibt 2 zufällige Gegenstände bei Verwendung an.")</f>
        <v>Gibt 2 zufällige Gegenstände bei Verwendung an.</v>
      </c>
      <c r="I30" s="23" t="str">
        <f ca="1">IFERROR(__xludf.DUMMYFUNCTION("GOOGLETRANSLATE(B30, ""en"", ""pl"")"),"Daje 2 losowe przedmioty, gdy są używane.")</f>
        <v>Daje 2 losowe przedmioty, gdy są używane.</v>
      </c>
      <c r="J30" s="25" t="str">
        <f ca="1">IFERROR(__xludf.DUMMYFUNCTION("GOOGLETRANSLATE(B30, ""en"", ""zh"")"),"使用时提供2个随机物品。")</f>
        <v>使用时提供2个随机物品。</v>
      </c>
      <c r="K30" s="25" t="str">
        <f ca="1">IFERROR(__xludf.DUMMYFUNCTION("GOOGLETRANSLATE(B30, ""en"", ""vi"")"),"Cung cấp cho 2 mục ngẫu nhiên khi sử dụng.")</f>
        <v>Cung cấp cho 2 mục ngẫu nhiên khi sử dụng.</v>
      </c>
      <c r="L30" s="26" t="str">
        <f ca="1">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spans="1:28" ht="15.75" customHeight="1" x14ac:dyDescent="0.15">
      <c r="A31" s="21" t="s">
        <v>446</v>
      </c>
      <c r="B31" s="22" t="s">
        <v>447</v>
      </c>
      <c r="C31" s="23" t="str">
        <f ca="1">IFERROR(__xludf.DUMMYFUNCTION("GOOGLETRANSLATE(B31, ""en"", ""fr"")"),"Boîte à butin moyen")</f>
        <v>Boîte à butin moyen</v>
      </c>
      <c r="D31" s="23" t="str">
        <f ca="1">IFERROR(__xludf.DUMMYFUNCTION("GOOGLETRANSLATE(B31, ""en"", ""es"")"),"Caja de botín medio")</f>
        <v>Caja de botín medio</v>
      </c>
      <c r="E31" s="23" t="str">
        <f ca="1">IFERROR(__xludf.DUMMYFUNCTION("GOOGLETRANSLATE(B31, ""en"", ""ru"")"),"Средняя лотная коробка")</f>
        <v>Средняя лотная коробка</v>
      </c>
      <c r="F31" s="23" t="str">
        <f ca="1">IFERROR(__xludf.DUMMYFUNCTION("GOOGLETRANSLATE(B31, ""en"", ""tr"")"),"Orta yağma kutusu")</f>
        <v>Orta yağma kutusu</v>
      </c>
      <c r="G31" s="23" t="str">
        <f ca="1">IFERROR(__xludf.DUMMYFUNCTION("GOOGLETRANSLATE(B31, ""en"", ""pt"")"),"Caixa de saqueia média.")</f>
        <v>Caixa de saqueia média.</v>
      </c>
      <c r="H31" s="24" t="str">
        <f ca="1">IFERROR(__xludf.DUMMYFUNCTION("GOOGLETRANSLATE(B31, ""en"", ""de"")"),"Mittlere Beutekiste")</f>
        <v>Mittlere Beutekiste</v>
      </c>
      <c r="I31" s="23" t="str">
        <f ca="1">IFERROR(__xludf.DUMMYFUNCTION("GOOGLETRANSLATE(B31, ""en"", ""pl"")"),"Medium Loot Box.")</f>
        <v>Medium Loot Box.</v>
      </c>
      <c r="J31" s="25" t="str">
        <f ca="1">IFERROR(__xludf.DUMMYFUNCTION("GOOGLETRANSLATE(B31, ""en"", ""zh"")"),"中等战利盒子")</f>
        <v>中等战利盒子</v>
      </c>
      <c r="K31" s="25" t="str">
        <f ca="1">IFERROR(__xludf.DUMMYFUNCTION("GOOGLETRANSLATE(B31, ""en"", ""vi"")"),"Hộp loot trung bình")</f>
        <v>Hộp loot trung bình</v>
      </c>
      <c r="L31" s="26" t="str">
        <f ca="1">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spans="1:28" ht="15.75" customHeight="1" x14ac:dyDescent="0.15">
      <c r="A32" s="21" t="s">
        <v>448</v>
      </c>
      <c r="B32" s="22" t="s">
        <v>449</v>
      </c>
      <c r="C32" s="23" t="str">
        <f ca="1">IFERROR(__xludf.DUMMYFUNCTION("GOOGLETRANSLATE(B32, ""en"", ""fr"")"),"Donne 3 articles aléatoires lorsqu'ils sont utilisés.")</f>
        <v>Donne 3 articles aléatoires lorsqu'ils sont utilisés.</v>
      </c>
      <c r="D32" s="23" t="str">
        <f ca="1">IFERROR(__xludf.DUMMYFUNCTION("GOOGLETRANSLATE(B32, ""en"", ""es"")"),"Da 3 artículos al azar cuando se usan.")</f>
        <v>Da 3 artículos al azar cuando se usan.</v>
      </c>
      <c r="E32" s="23" t="str">
        <f ca="1">IFERROR(__xludf.DUMMYFUNCTION("GOOGLETRANSLATE(B32, ""en"", ""ru"")"),"Дает 3 случайных предмета при использовании.")</f>
        <v>Дает 3 случайных предмета при использовании.</v>
      </c>
      <c r="F32" s="23" t="str">
        <f ca="1">IFERROR(__xludf.DUMMYFUNCTION("GOOGLETRANSLATE(B32, ""en"", ""tr"")"),"Kullanıldığında 3 rastgele madde verir.")</f>
        <v>Kullanıldığında 3 rastgele madde verir.</v>
      </c>
      <c r="G32" s="23" t="str">
        <f ca="1">IFERROR(__xludf.DUMMYFUNCTION("GOOGLETRANSLATE(B32, ""en"", ""pt"")"),"Dá 3 itens aleatórios quando usados.")</f>
        <v>Dá 3 itens aleatórios quando usados.</v>
      </c>
      <c r="H32" s="24" t="str">
        <f ca="1">IFERROR(__xludf.DUMMYFUNCTION("GOOGLETRANSLATE(B32, ""en"", ""de"")"),"Gibt 3 zufällige Elemente bei Verwendung an.")</f>
        <v>Gibt 3 zufällige Elemente bei Verwendung an.</v>
      </c>
      <c r="I32" s="23" t="str">
        <f ca="1">IFERROR(__xludf.DUMMYFUNCTION("GOOGLETRANSLATE(B32, ""en"", ""pl"")"),"Daje 3 losowe przedmioty, gdy są używane.")</f>
        <v>Daje 3 losowe przedmioty, gdy są używane.</v>
      </c>
      <c r="J32" s="25" t="str">
        <f ca="1">IFERROR(__xludf.DUMMYFUNCTION("GOOGLETRANSLATE(B32, ""en"", ""zh"")"),"使用时提供3个随机物品。")</f>
        <v>使用时提供3个随机物品。</v>
      </c>
      <c r="K32" s="25" t="str">
        <f ca="1">IFERROR(__xludf.DUMMYFUNCTION("GOOGLETRANSLATE(B32, ""en"", ""vi"")"),"Cung cấp 3 mặt hàng ngẫu nhiên khi sử dụng.")</f>
        <v>Cung cấp 3 mặt hàng ngẫu nhiên khi sử dụng.</v>
      </c>
      <c r="L32" s="26" t="str">
        <f ca="1">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spans="1:28" ht="15.75" customHeight="1" x14ac:dyDescent="0.15">
      <c r="A33" s="21" t="s">
        <v>450</v>
      </c>
      <c r="B33" s="22" t="s">
        <v>451</v>
      </c>
      <c r="C33" s="23" t="str">
        <f ca="1">IFERROR(__xludf.DUMMYFUNCTION("GOOGLETRANSLATE(B33, ""en"", ""fr"")"),"OS")</f>
        <v>OS</v>
      </c>
      <c r="D33" s="23" t="str">
        <f ca="1">IFERROR(__xludf.DUMMYFUNCTION("GOOGLETRANSLATE(B33, ""en"", ""es"")"),"Huesos")</f>
        <v>Huesos</v>
      </c>
      <c r="E33" s="23" t="str">
        <f ca="1">IFERROR(__xludf.DUMMYFUNCTION("GOOGLETRANSLATE(B33, ""en"", ""ru"")"),"Кости")</f>
        <v>Кости</v>
      </c>
      <c r="F33" s="23" t="str">
        <f ca="1">IFERROR(__xludf.DUMMYFUNCTION("GOOGLETRANSLATE(B33, ""en"", ""tr"")"),"Kemikler")</f>
        <v>Kemikler</v>
      </c>
      <c r="G33" s="23" t="str">
        <f ca="1">IFERROR(__xludf.DUMMYFUNCTION("GOOGLETRANSLATE(B33, ""en"", ""pt"")"),"Ossos")</f>
        <v>Ossos</v>
      </c>
      <c r="H33" s="24" t="str">
        <f ca="1">IFERROR(__xludf.DUMMYFUNCTION("GOOGLETRANSLATE(B33, ""en"", ""de"")"),"Knochen")</f>
        <v>Knochen</v>
      </c>
      <c r="I33" s="23" t="str">
        <f ca="1">IFERROR(__xludf.DUMMYFUNCTION("GOOGLETRANSLATE(B33, ""en"", ""pl"")"),"Kości")</f>
        <v>Kości</v>
      </c>
      <c r="J33" s="25" t="str">
        <f ca="1">IFERROR(__xludf.DUMMYFUNCTION("GOOGLETRANSLATE(B33, ""en"", ""zh"")"),"骨头")</f>
        <v>骨头</v>
      </c>
      <c r="K33" s="25" t="str">
        <f ca="1">IFERROR(__xludf.DUMMYFUNCTION("GOOGLETRANSLATE(B33, ""en"", ""vi"")"),"Xương")</f>
        <v>Xương</v>
      </c>
      <c r="L33" s="26" t="str">
        <f ca="1">IFERROR(__xludf.DUMMYFUNCTION("GOOGLETRANSLATE(B33, ""en"", ""hr"")"),"Kosti")</f>
        <v>Kosti</v>
      </c>
      <c r="M33" s="28"/>
      <c r="N33" s="28"/>
      <c r="O33" s="28"/>
      <c r="P33" s="28"/>
      <c r="Q33" s="28"/>
      <c r="R33" s="28"/>
      <c r="S33" s="28"/>
      <c r="T33" s="28"/>
      <c r="U33" s="28"/>
      <c r="V33" s="28"/>
      <c r="W33" s="28"/>
      <c r="X33" s="28"/>
      <c r="Y33" s="28"/>
      <c r="Z33" s="28"/>
      <c r="AA33" s="28"/>
      <c r="AB33" s="28"/>
    </row>
    <row r="34" spans="1:28" ht="15.75" customHeight="1" x14ac:dyDescent="0.15">
      <c r="A34" s="40" t="s">
        <v>452</v>
      </c>
      <c r="B34" s="22" t="s">
        <v>453</v>
      </c>
      <c r="C34" s="23" t="str">
        <f ca="1">IFERROR(__xludf.DUMMYFUNCTION("GOOGLETRANSLATE(B34, ""en"", ""fr"")"),"Peut être fabriqué dans un équipement primitif.")</f>
        <v>Peut être fabriqué dans un équipement primitif.</v>
      </c>
      <c r="D34" s="23" t="str">
        <f ca="1">IFERROR(__xludf.DUMMYFUNCTION("GOOGLETRANSLATE(B34, ""en"", ""es"")"),"Puede ser diseñado en equipos primitivos.")</f>
        <v>Puede ser diseñado en equipos primitivos.</v>
      </c>
      <c r="E34" s="23" t="str">
        <f ca="1">IFERROR(__xludf.DUMMYFUNCTION("GOOGLETRANSLATE(B34, ""en"", ""ru"")"),"Может быть создан в примитивное оборудование.")</f>
        <v>Может быть создан в примитивное оборудование.</v>
      </c>
      <c r="F34" s="23" t="str">
        <f ca="1">IFERROR(__xludf.DUMMYFUNCTION("GOOGLETRANSLATE(B34, ""en"", ""tr"")"),"İlkel ekipmana sokulabilir.")</f>
        <v>İlkel ekipmana sokulabilir.</v>
      </c>
      <c r="G34" s="23" t="str">
        <f ca="1">IFERROR(__xludf.DUMMYFUNCTION("GOOGLETRANSLATE(B34, ""en"", ""pt"")"),"Pode ser criado em equipamentos primitivos.")</f>
        <v>Pode ser criado em equipamentos primitivos.</v>
      </c>
      <c r="H34" s="24" t="str">
        <f ca="1">IFERROR(__xludf.DUMMYFUNCTION("GOOGLETRANSLATE(B34, ""en"", ""de"")"),"Kann in primitive Geräte gefertigt werden.")</f>
        <v>Kann in primitive Geräte gefertigt werden.</v>
      </c>
      <c r="I34" s="23" t="str">
        <f ca="1">IFERROR(__xludf.DUMMYFUNCTION("GOOGLETRANSLATE(B34, ""en"", ""pl"")"),"Może być wykonany do prymitywnego sprzętu.")</f>
        <v>Może być wykonany do prymitywnego sprzętu.</v>
      </c>
      <c r="J34" s="25" t="str">
        <f ca="1">IFERROR(__xludf.DUMMYFUNCTION("GOOGLETRANSLATE(B34, ""en"", ""zh"")"),"可以制成原始设备。")</f>
        <v>可以制成原始设备。</v>
      </c>
      <c r="K34" s="25" t="str">
        <f ca="1">IFERROR(__xludf.DUMMYFUNCTION("GOOGLETRANSLATE(B34, ""en"", ""vi"")"),"Có thể được chế tạo thành thiết bị nguyên thủy.")</f>
        <v>Có thể được chế tạo thành thiết bị nguyên thủy.</v>
      </c>
      <c r="L34" s="26" t="str">
        <f ca="1">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spans="1:28" ht="15.75" customHeight="1" x14ac:dyDescent="0.15">
      <c r="A35" s="21" t="s">
        <v>454</v>
      </c>
      <c r="B35" s="22" t="s">
        <v>455</v>
      </c>
      <c r="C35" s="23" t="str">
        <f ca="1">IFERROR(__xludf.DUMMYFUNCTION("GOOGLETRANSLATE(B35, ""en"", ""fr"")"),"Minerai de fer")</f>
        <v>Minerai de fer</v>
      </c>
      <c r="D35" s="23" t="str">
        <f ca="1">IFERROR(__xludf.DUMMYFUNCTION("GOOGLETRANSLATE(B35, ""en"", ""es"")"),"Mineral de hierro")</f>
        <v>Mineral de hierro</v>
      </c>
      <c r="E35" s="23" t="str">
        <f ca="1">IFERROR(__xludf.DUMMYFUNCTION("GOOGLETRANSLATE(B35, ""en"", ""ru"")"),"Железный")</f>
        <v>Железный</v>
      </c>
      <c r="F35" s="23" t="str">
        <f ca="1">IFERROR(__xludf.DUMMYFUNCTION("GOOGLETRANSLATE(B35, ""en"", ""tr"")"),"Demir cevheri")</f>
        <v>Demir cevheri</v>
      </c>
      <c r="G35" s="23" t="str">
        <f ca="1">IFERROR(__xludf.DUMMYFUNCTION("GOOGLETRANSLATE(B35, ""en"", ""pt"")"),"Minério de ferro")</f>
        <v>Minério de ferro</v>
      </c>
      <c r="H35" s="24" t="str">
        <f ca="1">IFERROR(__xludf.DUMMYFUNCTION("GOOGLETRANSLATE(B35, ""en"", ""de"")"),"Eisenerz")</f>
        <v>Eisenerz</v>
      </c>
      <c r="I35" s="23" t="str">
        <f ca="1">IFERROR(__xludf.DUMMYFUNCTION("GOOGLETRANSLATE(B35, ""en"", ""pl"")"),"Ruda żelaza")</f>
        <v>Ruda żelaza</v>
      </c>
      <c r="J35" s="25" t="str">
        <f ca="1">IFERROR(__xludf.DUMMYFUNCTION("GOOGLETRANSLATE(B35, ""en"", ""zh"")"),"铁矿")</f>
        <v>铁矿</v>
      </c>
      <c r="K35" s="25" t="str">
        <f ca="1">IFERROR(__xludf.DUMMYFUNCTION("GOOGLETRANSLATE(B35, ""en"", ""vi"")"),"Quặng sắt")</f>
        <v>Quặng sắt</v>
      </c>
      <c r="L35" s="26" t="str">
        <f ca="1">IFERROR(__xludf.DUMMYFUNCTION("GOOGLETRANSLATE(B35, ""en"", ""hr"")"),"Željezna ruda")</f>
        <v>Željezna ruda</v>
      </c>
      <c r="M35" s="28"/>
      <c r="N35" s="28"/>
      <c r="O35" s="28"/>
      <c r="P35" s="28"/>
      <c r="Q35" s="28"/>
      <c r="R35" s="28"/>
      <c r="S35" s="28"/>
      <c r="T35" s="28"/>
      <c r="U35" s="28"/>
      <c r="V35" s="28"/>
      <c r="W35" s="28"/>
      <c r="X35" s="28"/>
      <c r="Y35" s="28"/>
      <c r="Z35" s="28"/>
      <c r="AA35" s="28"/>
      <c r="AB35" s="28"/>
    </row>
    <row r="36" spans="1:28" ht="15.75" customHeight="1" x14ac:dyDescent="0.15">
      <c r="A36" s="40" t="s">
        <v>456</v>
      </c>
      <c r="B36" s="22" t="s">
        <v>457</v>
      </c>
      <c r="C36" s="23" t="str">
        <f ca="1">IFERROR(__xludf.DUMMYFUNCTION("GOOGLETRANSLATE(B36, ""en"", ""fr"")"),"Peut être fabriqué dans une barre de fer sur un four.")</f>
        <v>Peut être fabriqué dans une barre de fer sur un four.</v>
      </c>
      <c r="D36" s="23" t="str">
        <f ca="1">IFERROR(__xludf.DUMMYFUNCTION("GOOGLETRANSLATE(B36, ""en"", ""es"")"),"Puede ser diseñado en una barra de hierro en un horno.")</f>
        <v>Puede ser diseñado en una barra de hierro en un horno.</v>
      </c>
      <c r="E36" s="23" t="str">
        <f ca="1">IFERROR(__xludf.DUMMYFUNCTION("GOOGLETRANSLATE(B36, ""en"", ""ru"")"),"Может быть создан в железный бар в печи.")</f>
        <v>Может быть создан в железный бар в печи.</v>
      </c>
      <c r="F36" s="23" t="str">
        <f ca="1">IFERROR(__xludf.DUMMYFUNCTION("GOOGLETRANSLATE(B36, ""en"", ""tr"")"),"Bir fırında bir demir çubuğa sokulabilir.")</f>
        <v>Bir fırında bir demir çubuğa sokulabilir.</v>
      </c>
      <c r="G36" s="23" t="str">
        <f ca="1">IFERROR(__xludf.DUMMYFUNCTION("GOOGLETRANSLATE(B36, ""en"", ""pt"")"),"Pode ser criado em uma barra de ferro em um forno.")</f>
        <v>Pode ser criado em uma barra de ferro em um forno.</v>
      </c>
      <c r="H36" s="24" t="str">
        <f ca="1">IFERROR(__xludf.DUMMYFUNCTION("GOOGLETRANSLATE(B36, ""en"", ""de"")"),"Kann in einer Eisenstange in einem Ofen gefertigt werden.")</f>
        <v>Kann in einer Eisenstange in einem Ofen gefertigt werden.</v>
      </c>
      <c r="I36" s="23" t="str">
        <f ca="1">IFERROR(__xludf.DUMMYFUNCTION("GOOGLETRANSLATE(B36, ""en"", ""pl"")"),"Może być wykonany w żelaznym pasku w piecu.")</f>
        <v>Może być wykonany w żelaznym pasku w piecu.</v>
      </c>
      <c r="J36" s="25" t="str">
        <f ca="1">IFERROR(__xludf.DUMMYFUNCTION("GOOGLETRANSLATE(B36, ""en"", ""zh"")"),"可以在炉子里制作成铁杆。")</f>
        <v>可以在炉子里制作成铁杆。</v>
      </c>
      <c r="K36" s="25" t="str">
        <f ca="1">IFERROR(__xludf.DUMMYFUNCTION("GOOGLETRANSLATE(B36, ""en"", ""vi"")"),"Có thể được chế tạo thành một thanh sắt tại một lò.")</f>
        <v>Có thể được chế tạo thành một thanh sắt tại một lò.</v>
      </c>
      <c r="L36" s="26" t="str">
        <f ca="1">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spans="1:28" ht="15.75" customHeight="1" x14ac:dyDescent="0.15">
      <c r="A37" s="40" t="s">
        <v>458</v>
      </c>
      <c r="B37" s="22" t="s">
        <v>459</v>
      </c>
      <c r="C37" s="23" t="str">
        <f ca="1">IFERROR(__xludf.DUMMYFUNCTION("GOOGLETRANSLATE(B37, ""en"", ""fr"")"),"Barre de fer")</f>
        <v>Barre de fer</v>
      </c>
      <c r="D37" s="23" t="str">
        <f ca="1">IFERROR(__xludf.DUMMYFUNCTION("GOOGLETRANSLATE(B37, ""en"", ""es"")"),"Barra de acero")</f>
        <v>Barra de acero</v>
      </c>
      <c r="E37" s="23" t="str">
        <f ca="1">IFERROR(__xludf.DUMMYFUNCTION("GOOGLETRANSLATE(B37, ""en"", ""ru"")"),"Железный слиток")</f>
        <v>Железный слиток</v>
      </c>
      <c r="F37" s="23" t="str">
        <f ca="1">IFERROR(__xludf.DUMMYFUNCTION("GOOGLETRANSLATE(B37, ""en"", ""tr"")"),"Demir çubuk")</f>
        <v>Demir çubuk</v>
      </c>
      <c r="G37" s="23" t="str">
        <f ca="1">IFERROR(__xludf.DUMMYFUNCTION("GOOGLETRANSLATE(B37, ""en"", ""pt"")"),"Barra de ferro")</f>
        <v>Barra de ferro</v>
      </c>
      <c r="H37" s="24" t="str">
        <f ca="1">IFERROR(__xludf.DUMMYFUNCTION("GOOGLETRANSLATE(B37, ""en"", ""de"")"),"Eisenstange")</f>
        <v>Eisenstange</v>
      </c>
      <c r="I37" s="23" t="str">
        <f ca="1">IFERROR(__xludf.DUMMYFUNCTION("GOOGLETRANSLATE(B37, ""en"", ""pl"")"),"Żelazny bar")</f>
        <v>Żelazny bar</v>
      </c>
      <c r="J37" s="25" t="str">
        <f ca="1">IFERROR(__xludf.DUMMYFUNCTION("GOOGLETRANSLATE(B37, ""en"", ""zh"")"),"铁吧")</f>
        <v>铁吧</v>
      </c>
      <c r="K37" s="25" t="str">
        <f ca="1">IFERROR(__xludf.DUMMYFUNCTION("GOOGLETRANSLATE(B37, ""en"", ""vi"")"),"Thanh sắt")</f>
        <v>Thanh sắt</v>
      </c>
      <c r="L37" s="26" t="str">
        <f ca="1">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spans="1:28" ht="15.75" customHeight="1" x14ac:dyDescent="0.15">
      <c r="A38" s="40" t="s">
        <v>460</v>
      </c>
      <c r="B38" s="22" t="s">
        <v>461</v>
      </c>
      <c r="C38" s="23" t="str">
        <f ca="1">IFERROR(__xludf.DUMMYFUNCTION("GOOGLETRANSLATE(B38, ""en"", ""fr"")"),"Peut être fabriqué dans des équipements de fer.")</f>
        <v>Peut être fabriqué dans des équipements de fer.</v>
      </c>
      <c r="D38" s="23" t="str">
        <f ca="1">IFERROR(__xludf.DUMMYFUNCTION("GOOGLETRANSLATE(B38, ""en"", ""es"")"),"Se puede crear en equipos de hierro.")</f>
        <v>Se puede crear en equipos de hierro.</v>
      </c>
      <c r="E38" s="23" t="str">
        <f ca="1">IFERROR(__xludf.DUMMYFUNCTION("GOOGLETRANSLATE(B38, ""en"", ""ru"")"),"Может быть создан на железное оборудование.")</f>
        <v>Может быть создан на железное оборудование.</v>
      </c>
      <c r="F38" s="23" t="str">
        <f ca="1">IFERROR(__xludf.DUMMYFUNCTION("GOOGLETRANSLATE(B38, ""en"", ""tr"")"),"Demir ekipmana sokulabilir.")</f>
        <v>Demir ekipmana sokulabilir.</v>
      </c>
      <c r="G38" s="23" t="str">
        <f ca="1">IFERROR(__xludf.DUMMYFUNCTION("GOOGLETRANSLATE(B38, ""en"", ""pt"")"),"Pode ser criado em equipamentos de ferro.")</f>
        <v>Pode ser criado em equipamentos de ferro.</v>
      </c>
      <c r="H38" s="24" t="str">
        <f ca="1">IFERROR(__xludf.DUMMYFUNCTION("GOOGLETRANSLATE(B38, ""en"", ""de"")"),"Kann in eiserne Geräte gefertigt werden.")</f>
        <v>Kann in eiserne Geräte gefertigt werden.</v>
      </c>
      <c r="I38" s="23" t="str">
        <f ca="1">IFERROR(__xludf.DUMMYFUNCTION("GOOGLETRANSLATE(B38, ""en"", ""pl"")"),"Może być wykonany do sprzętu żelaza.")</f>
        <v>Może być wykonany do sprzętu żelaza.</v>
      </c>
      <c r="J38" s="25" t="str">
        <f ca="1">IFERROR(__xludf.DUMMYFUNCTION("GOOGLETRANSLATE(B38, ""en"", ""zh"")"),"可以制作成铁设备。")</f>
        <v>可以制作成铁设备。</v>
      </c>
      <c r="K38" s="25" t="str">
        <f ca="1">IFERROR(__xludf.DUMMYFUNCTION("GOOGLETRANSLATE(B38, ""en"", ""vi"")"),"Có thể được chế tạo thành thiết bị sắt.")</f>
        <v>Có thể được chế tạo thành thiết bị sắt.</v>
      </c>
      <c r="L38" s="26" t="str">
        <f ca="1">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spans="1:28" ht="15.75" customHeight="1" x14ac:dyDescent="0.15">
      <c r="A39" s="21" t="s">
        <v>462</v>
      </c>
      <c r="B39" s="22" t="s">
        <v>463</v>
      </c>
      <c r="C39" s="23" t="str">
        <f ca="1">IFERROR(__xludf.DUMMYFUNCTION("GOOGLETRANSLATE(B39, ""en"", ""fr"")"),"Minerai de dunique")</f>
        <v>Minerai de dunique</v>
      </c>
      <c r="D39" s="23" t="str">
        <f ca="1">IFERROR(__xludf.DUMMYFUNCTION("GOOGLETRANSLATE(B39, ""en"", ""es"")"),"Mineral de dunmium")</f>
        <v>Mineral de dunmium</v>
      </c>
      <c r="E39" s="23" t="str">
        <f ca="1">IFERROR(__xludf.DUMMYFUNCTION("GOOGLETRANSLATE(B39, ""en"", ""ru"")"),"Дангульская руда")</f>
        <v>Дангульская руда</v>
      </c>
      <c r="F39" s="23" t="str">
        <f ca="1">IFERROR(__xludf.DUMMYFUNCTION("GOOGLETRANSLATE(B39, ""en"", ""tr"")"),"Dungium cevheri")</f>
        <v>Dungium cevheri</v>
      </c>
      <c r="G39" s="23" t="str">
        <f ca="1">IFERROR(__xludf.DUMMYFUNCTION("GOOGLETRANSLATE(B39, ""en"", ""pt"")"),"Minério de dungium")</f>
        <v>Minério de dungium</v>
      </c>
      <c r="H39" s="24" t="str">
        <f ca="1">IFERROR(__xludf.DUMMYFUNCTION("GOOGLETRANSLATE(B39, ""en"", ""de"")"),"Dungiumerz.")</f>
        <v>Dungiumerz.</v>
      </c>
      <c r="I39" s="23" t="str">
        <f ca="1">IFERROR(__xludf.DUMMYFUNCTION("GOOGLETRANSLATE(B39, ""en"", ""pl"")"),"Orona Dungium.")</f>
        <v>Orona Dungium.</v>
      </c>
      <c r="J39" s="25" t="str">
        <f ca="1">IFERROR(__xludf.DUMMYFUNCTION("GOOGLETRANSLATE(B39, ""en"", ""zh"")"),"Dungium Ore.")</f>
        <v>Dungium Ore.</v>
      </c>
      <c r="K39" s="25" t="str">
        <f ca="1">IFERROR(__xludf.DUMMYFUNCTION("GOOGLETRANSLATE(B39, ""en"", ""vi"")"),"Quặng dungium.")</f>
        <v>Quặng dungium.</v>
      </c>
      <c r="L39" s="26" t="str">
        <f ca="1">IFERROR(__xludf.DUMMYFUNCTION("GOOGLETRANSLATE(B39, ""en"", ""hr"")"),"Dungium rure")</f>
        <v>Dungium rure</v>
      </c>
      <c r="M39" s="28"/>
      <c r="N39" s="28"/>
      <c r="O39" s="28"/>
      <c r="P39" s="28"/>
      <c r="Q39" s="28"/>
      <c r="R39" s="28"/>
      <c r="S39" s="28"/>
      <c r="T39" s="28"/>
      <c r="U39" s="28"/>
      <c r="V39" s="28"/>
      <c r="W39" s="28"/>
      <c r="X39" s="28"/>
      <c r="Y39" s="28"/>
      <c r="Z39" s="28"/>
      <c r="AA39" s="28"/>
      <c r="AB39" s="28"/>
    </row>
    <row r="40" spans="1:28" ht="15.75" customHeight="1" x14ac:dyDescent="0.15">
      <c r="A40" s="40" t="s">
        <v>464</v>
      </c>
      <c r="B40" s="22" t="s">
        <v>465</v>
      </c>
      <c r="C40" s="23" t="str">
        <f ca="1">IFERROR(__xludf.DUMMYFUNCTION("GOOGLETRANSLATE(B40, ""en"", ""fr"")"),"Peut être conçu dans une barre de dunglium sur un four.")</f>
        <v>Peut être conçu dans une barre de dunglium sur un four.</v>
      </c>
      <c r="D40" s="23" t="str">
        <f ca="1">IFERROR(__xludf.DUMMYFUNCTION("GOOGLETRANSLATE(B40, ""en"", ""es"")"),"Puede ser diseñado en una barra de dunmium en un horno.")</f>
        <v>Puede ser diseñado en una barra de dunmium en un horno.</v>
      </c>
      <c r="E40" s="23" t="str">
        <f ca="1">IFERROR(__xludf.DUMMYFUNCTION("GOOGLETRANSLATE(B40, ""en"", ""ru"")"),"Может быть создан в батончик Dungium в печи.")</f>
        <v>Может быть создан в батончик Dungium в печи.</v>
      </c>
      <c r="F40" s="23" t="str">
        <f ca="1">IFERROR(__xludf.DUMMYFUNCTION("GOOGLETRANSLATE(B40, ""en"", ""tr"")"),"Bir fırında bir dungium çubuğuna sokulabilir.")</f>
        <v>Bir fırında bir dungium çubuğuna sokulabilir.</v>
      </c>
      <c r="G40" s="23" t="str">
        <f ca="1">IFERROR(__xludf.DUMMYFUNCTION("GOOGLETRANSLATE(B40, ""en"", ""pt"")"),"Pode ser criado em uma barra de dungium em um forno.")</f>
        <v>Pode ser criado em uma barra de dungium em um forno.</v>
      </c>
      <c r="H40" s="24" t="str">
        <f ca="1">IFERROR(__xludf.DUMMYFUNCTION("GOOGLETRANSLATE(B40, ""en"", ""de"")"),"Kann in einer Dungium-Bar in einem Ofen gefertigt werden.")</f>
        <v>Kann in einer Dungium-Bar in einem Ofen gefertigt werden.</v>
      </c>
      <c r="I40" s="23" t="str">
        <f ca="1">IFERROR(__xludf.DUMMYFUNCTION("GOOGLETRANSLATE(B40, ""en"", ""pl"")"),"Może być wykonany w barze do dobiji w piecu.")</f>
        <v>Może być wykonany w barze do dobiji w piecu.</v>
      </c>
      <c r="J40" s="25" t="str">
        <f ca="1">IFERROR(__xludf.DUMMYFUNCTION("GOOGLETRANSLATE(B40, ""en"", ""zh"")"),"可以在炉子里制作成床棒。")</f>
        <v>可以在炉子里制作成床棒。</v>
      </c>
      <c r="K40" s="25" t="str">
        <f ca="1">IFERROR(__xludf.DUMMYFUNCTION("GOOGLETRANSLATE(B40, ""en"", ""vi"")"),"Có thể được chế tạo thành một thanh dungium tại một lò.")</f>
        <v>Có thể được chế tạo thành một thanh dungium tại một lò.</v>
      </c>
      <c r="L40" s="26" t="str">
        <f ca="1">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spans="1:28" ht="15.75" customHeight="1" x14ac:dyDescent="0.15">
      <c r="A41" s="41" t="s">
        <v>466</v>
      </c>
      <c r="B41" s="22" t="s">
        <v>467</v>
      </c>
      <c r="C41" s="23" t="str">
        <f ca="1">IFERROR(__xludf.DUMMYFUNCTION("GOOGLETRANSLATE(B41, ""en"", ""fr"")"),"Barreau de dungium")</f>
        <v>Barreau de dungium</v>
      </c>
      <c r="D41" s="23" t="str">
        <f ca="1">IFERROR(__xludf.DUMMYFUNCTION("GOOGLETRANSLATE(B41, ""en"", ""es"")"),"Bar de dungium")</f>
        <v>Bar de dungium</v>
      </c>
      <c r="E41" s="23" t="str">
        <f ca="1">IFERROR(__xludf.DUMMYFUNCTION("GOOGLETRANSLATE(B41, ""en"", ""ru"")"),"Дунгуль")</f>
        <v>Дунгуль</v>
      </c>
      <c r="F41" s="23" t="str">
        <f ca="1">IFERROR(__xludf.DUMMYFUNCTION("GOOGLETRANSLATE(B41, ""en"", ""tr"")"),"Dungium bar")</f>
        <v>Dungium bar</v>
      </c>
      <c r="G41" s="23" t="str">
        <f ca="1">IFERROR(__xludf.DUMMYFUNCTION("GOOGLETRANSLATE(B41, ""en"", ""pt"")"),"Barra de dungium")</f>
        <v>Barra de dungium</v>
      </c>
      <c r="H41" s="24" t="str">
        <f ca="1">IFERROR(__xludf.DUMMYFUNCTION("GOOGLETRANSLATE(B41, ""en"", ""de"")"),"Dungium Bar.")</f>
        <v>Dungium Bar.</v>
      </c>
      <c r="I41" s="23" t="str">
        <f ca="1">IFERROR(__xludf.DUMMYFUNCTION("GOOGLETRANSLATE(B41, ""en"", ""pl"")"),"Dungium Bar.")</f>
        <v>Dungium Bar.</v>
      </c>
      <c r="J41" s="25" t="str">
        <f ca="1">IFERROR(__xludf.DUMMYFUNCTION("GOOGLETRANSLATE(B41, ""en"", ""zh"")"),"bar")</f>
        <v>bar</v>
      </c>
      <c r="K41" s="25" t="str">
        <f ca="1">IFERROR(__xludf.DUMMYFUNCTION("GOOGLETRANSLATE(B41, ""en"", ""vi"")"),"Dungium Bar.")</f>
        <v>Dungium Bar.</v>
      </c>
      <c r="L41" s="26" t="str">
        <f ca="1">IFERROR(__xludf.DUMMYFUNCTION("GOOGLETRANSLATE(B41, ""en"", ""hr"")"),"Dungijski bar")</f>
        <v>Dungijski bar</v>
      </c>
      <c r="M41" s="28"/>
      <c r="N41" s="28"/>
      <c r="O41" s="28"/>
      <c r="P41" s="28"/>
      <c r="Q41" s="28"/>
      <c r="R41" s="28"/>
      <c r="S41" s="28"/>
      <c r="T41" s="28"/>
      <c r="U41" s="28"/>
      <c r="V41" s="28"/>
      <c r="W41" s="28"/>
      <c r="X41" s="28"/>
      <c r="Y41" s="28"/>
      <c r="Z41" s="28"/>
      <c r="AA41" s="28"/>
      <c r="AB41" s="28"/>
    </row>
    <row r="42" spans="1:28" ht="15.75" customHeight="1" x14ac:dyDescent="0.15">
      <c r="A42" s="40" t="s">
        <v>468</v>
      </c>
      <c r="B42" s="22" t="s">
        <v>469</v>
      </c>
      <c r="C42" s="23" t="str">
        <f ca="1">IFERROR(__xludf.DUMMYFUNCTION("GOOGLETRANSLATE(B42, ""en"", ""fr"")"),"Peut être conçu dans un équipement de Dungium.")</f>
        <v>Peut être conçu dans un équipement de Dungium.</v>
      </c>
      <c r="D42" s="23" t="str">
        <f ca="1">IFERROR(__xludf.DUMMYFUNCTION("GOOGLETRANSLATE(B42, ""en"", ""es"")"),"Puede ser diseñado en equipos de dunmium.")</f>
        <v>Puede ser diseñado en equipos de dunmium.</v>
      </c>
      <c r="E42" s="23" t="str">
        <f ca="1">IFERROR(__xludf.DUMMYFUNCTION("GOOGLETRANSLATE(B42, ""en"", ""ru"")"),"Может быть создан в экипировку Dunungium.")</f>
        <v>Может быть создан в экипировку Dunungium.</v>
      </c>
      <c r="F42" s="23" t="str">
        <f ca="1">IFERROR(__xludf.DUMMYFUNCTION("GOOGLETRANSLATE(B42, ""en"", ""tr"")"),"Dungium ekipmanlarına sokulabilir.")</f>
        <v>Dungium ekipmanlarına sokulabilir.</v>
      </c>
      <c r="G42" s="23" t="str">
        <f ca="1">IFERROR(__xludf.DUMMYFUNCTION("GOOGLETRANSLATE(B42, ""en"", ""pt"")"),"Pode ser criado em equipamentos de dungium.")</f>
        <v>Pode ser criado em equipamentos de dungium.</v>
      </c>
      <c r="H42" s="24" t="str">
        <f ca="1">IFERROR(__xludf.DUMMYFUNCTION("GOOGLETRANSLATE(B42, ""en"", ""de"")"),"Kann in Dungium-Geräte gefertigt werden.")</f>
        <v>Kann in Dungium-Geräte gefertigt werden.</v>
      </c>
      <c r="I42" s="23" t="str">
        <f ca="1">IFERROR(__xludf.DUMMYFUNCTION("GOOGLETRANSLATE(B42, ""en"", ""pl"")"),"Może być wykonany do sprzętu do pozbawiania.")</f>
        <v>Może być wykonany do sprzętu do pozbawiania.</v>
      </c>
      <c r="J42" s="25" t="str">
        <f ca="1">IFERROR(__xludf.DUMMYFUNCTION("GOOGLETRANSLATE(B42, ""en"", ""zh"")"),"可以制作到数控设备。")</f>
        <v>可以制作到数控设备。</v>
      </c>
      <c r="K42" s="25" t="str">
        <f ca="1">IFERROR(__xludf.DUMMYFUNCTION("GOOGLETRANSLATE(B42, ""en"", ""vi"")"),"Có thể được chế tạo thành thiết bị dungium.")</f>
        <v>Có thể được chế tạo thành thiết bị dungium.</v>
      </c>
      <c r="L42" s="26" t="str">
        <f ca="1">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spans="1:28" ht="15.75" customHeight="1" x14ac:dyDescent="0.15">
      <c r="A43" s="21" t="s">
        <v>470</v>
      </c>
      <c r="B43" s="22" t="s">
        <v>471</v>
      </c>
      <c r="C43" s="23" t="str">
        <f ca="1">IFERROR(__xludf.DUMMYFUNCTION("GOOGLETRANSLATE(B43, ""en"", ""fr"")"),"Minerai d'agonite")</f>
        <v>Minerai d'agonite</v>
      </c>
      <c r="D43" s="23" t="str">
        <f ca="1">IFERROR(__xludf.DUMMYFUNCTION("GOOGLETRANSLATE(B43, ""en"", ""es"")"),"Mineral de agonita")</f>
        <v>Mineral de agonita</v>
      </c>
      <c r="E43" s="23" t="str">
        <f ca="1">IFERROR(__xludf.DUMMYFUNCTION("GOOGLETRANSLATE(B43, ""en"", ""ru"")"),"Агонита руда")</f>
        <v>Агонита руда</v>
      </c>
      <c r="F43" s="23" t="str">
        <f ca="1">IFERROR(__xludf.DUMMYFUNCTION("GOOGLETRANSLATE(B43, ""en"", ""tr"")"),"Agonite cevheri")</f>
        <v>Agonite cevheri</v>
      </c>
      <c r="G43" s="23" t="str">
        <f ca="1">IFERROR(__xludf.DUMMYFUNCTION("GOOGLETRANSLATE(B43, ""en"", ""pt"")"),"Minério de agonite")</f>
        <v>Minério de agonite</v>
      </c>
      <c r="H43" s="24" t="str">
        <f ca="1">IFERROR(__xludf.DUMMYFUNCTION("GOOGLETRANSLATE(B43, ""en"", ""de"")"),"Agoniterz.")</f>
        <v>Agoniterz.</v>
      </c>
      <c r="I43" s="23" t="str">
        <f ca="1">IFERROR(__xludf.DUMMYFUNCTION("GOOGLETRANSLATE(B43, ""en"", ""pl"")"),"Agonite Ore.")</f>
        <v>Agonite Ore.</v>
      </c>
      <c r="J43" s="25" t="str">
        <f ca="1">IFERROR(__xludf.DUMMYFUNCTION("GOOGLETRANSLATE(B43, ""en"", ""zh"")"),"Agonite Oree.")</f>
        <v>Agonite Oree.</v>
      </c>
      <c r="K43" s="25" t="str">
        <f ca="1">IFERROR(__xludf.DUMMYFUNCTION("GOOGLETRANSLATE(B43, ""en"", ""vi"")"),"Quặng agonite.")</f>
        <v>Quặng agonite.</v>
      </c>
      <c r="L43" s="26" t="str">
        <f ca="1">IFERROR(__xludf.DUMMYFUNCTION("GOOGLETRANSLATE(B43, ""en"", ""hr"")"),"Agoniti rude")</f>
        <v>Agoniti rude</v>
      </c>
      <c r="M43" s="28"/>
      <c r="N43" s="28"/>
      <c r="O43" s="28"/>
      <c r="P43" s="28"/>
      <c r="Q43" s="28"/>
      <c r="R43" s="28"/>
      <c r="S43" s="28"/>
      <c r="T43" s="28"/>
      <c r="U43" s="28"/>
      <c r="V43" s="28"/>
      <c r="W43" s="28"/>
      <c r="X43" s="28"/>
      <c r="Y43" s="28"/>
      <c r="Z43" s="28"/>
      <c r="AA43" s="28"/>
      <c r="AB43" s="28"/>
    </row>
    <row r="44" spans="1:28" ht="15.75" customHeight="1" x14ac:dyDescent="0.15">
      <c r="A44" s="40" t="s">
        <v>472</v>
      </c>
      <c r="B44" s="22" t="s">
        <v>473</v>
      </c>
      <c r="C44" s="23" t="str">
        <f ca="1">IFERROR(__xludf.DUMMYFUNCTION("GOOGLETRANSLATE(B44, ""en"", ""fr"")"),"Peut être fabriqué dans une barre d'agonite dans un four.")</f>
        <v>Peut être fabriqué dans une barre d'agonite dans un four.</v>
      </c>
      <c r="D44" s="23" t="str">
        <f ca="1">IFERROR(__xludf.DUMMYFUNCTION("GOOGLETRANSLATE(B44, ""en"", ""es"")"),"Puede ser diseñado en una barra de agonita en un horno.")</f>
        <v>Puede ser diseñado en una barra de agonita en un horno.</v>
      </c>
      <c r="E44" s="23" t="str">
        <f ca="1">IFERROR(__xludf.DUMMYFUNCTION("GOOGLETRANSLATE(B44, ""en"", ""ru"")"),"Может быть создан в агонит-бар в печи.")</f>
        <v>Может быть создан в агонит-бар в печи.</v>
      </c>
      <c r="F44" s="23" t="str">
        <f ca="1">IFERROR(__xludf.DUMMYFUNCTION("GOOGLETRANSLATE(B44, ""en"", ""tr"")"),"Bir fırında agonit bir bara sokulabilir.")</f>
        <v>Bir fırında agonit bir bara sokulabilir.</v>
      </c>
      <c r="G44" s="23" t="str">
        <f ca="1">IFERROR(__xludf.DUMMYFUNCTION("GOOGLETRANSLATE(B44, ""en"", ""pt"")"),"Pode ser criado em uma barra de agonite em um forno.")</f>
        <v>Pode ser criado em uma barra de agonite em um forno.</v>
      </c>
      <c r="H44" s="24" t="str">
        <f ca="1">IFERROR(__xludf.DUMMYFUNCTION("GOOGLETRANSLATE(B44, ""en"", ""de"")"),"Kann in einem Ofen in eine Agonitstange gefertigt werden.")</f>
        <v>Kann in einem Ofen in eine Agonitstange gefertigt werden.</v>
      </c>
      <c r="I44" s="23" t="str">
        <f ca="1">IFERROR(__xludf.DUMMYFUNCTION("GOOGLETRANSLATE(B44, ""en"", ""pl"")"),"Może być wykonany do baru agonitu w piecu.")</f>
        <v>Może być wykonany do baru agonitu w piecu.</v>
      </c>
      <c r="J44" s="25" t="str">
        <f ca="1">IFERROR(__xludf.DUMMYFUNCTION("GOOGLETRANSLATE(B44, ""en"", ""zh"")"),"可以在炉子里制作成艾莫氏棒。")</f>
        <v>可以在炉子里制作成艾莫氏棒。</v>
      </c>
      <c r="K44" s="25" t="str">
        <f ca="1">IFERROR(__xludf.DUMMYFUNCTION("GOOGLETRANSLATE(B44, ""en"", ""vi"")"),"Có thể được chế tạo thành một thanh agonite tại một lò.")</f>
        <v>Có thể được chế tạo thành một thanh agonite tại một lò.</v>
      </c>
      <c r="L44" s="26" t="str">
        <f ca="1">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spans="1:28" ht="15.75" customHeight="1" x14ac:dyDescent="0.15">
      <c r="A45" s="41" t="s">
        <v>474</v>
      </c>
      <c r="B45" s="22" t="s">
        <v>475</v>
      </c>
      <c r="C45" s="23" t="str">
        <f ca="1">IFERROR(__xludf.DUMMYFUNCTION("GOOGLETRANSLATE(B45, ""en"", ""fr"")"),"Barre d'agonite")</f>
        <v>Barre d'agonite</v>
      </c>
      <c r="D45" s="23" t="str">
        <f ca="1">IFERROR(__xludf.DUMMYFUNCTION("GOOGLETRANSLATE(B45, ""en"", ""es"")"),"Agonita")</f>
        <v>Agonita</v>
      </c>
      <c r="E45" s="23" t="str">
        <f ca="1">IFERROR(__xludf.DUMMYFUNCTION("GOOGLETRANSLATE(B45, ""en"", ""ru"")"),"Агонит")</f>
        <v>Агонит</v>
      </c>
      <c r="F45" s="23" t="str">
        <f ca="1">IFERROR(__xludf.DUMMYFUNCTION("GOOGLETRANSLATE(B45, ""en"", ""tr"")"),"Agonit bar")</f>
        <v>Agonit bar</v>
      </c>
      <c r="G45" s="23" t="str">
        <f ca="1">IFERROR(__xludf.DUMMYFUNCTION("GOOGLETRANSLATE(B45, ""en"", ""pt"")"),"Barra de agonite")</f>
        <v>Barra de agonite</v>
      </c>
      <c r="H45" s="24" t="str">
        <f ca="1">IFERROR(__xludf.DUMMYFUNCTION("GOOGLETRANSLATE(B45, ""en"", ""de"")"),"Agonitbar.")</f>
        <v>Agonitbar.</v>
      </c>
      <c r="I45" s="23" t="str">
        <f ca="1">IFERROR(__xludf.DUMMYFUNCTION("GOOGLETRANSLATE(B45, ""en"", ""pl"")"),"Bar agonitowy")</f>
        <v>Bar agonitowy</v>
      </c>
      <c r="J45" s="25" t="str">
        <f ca="1">IFERROR(__xludf.DUMMYFUNCTION("GOOGLETRANSLATE(B45, ""en"", ""zh"")"),"Agonite酒吧")</f>
        <v>Agonite酒吧</v>
      </c>
      <c r="K45" s="25" t="str">
        <f ca="1">IFERROR(__xludf.DUMMYFUNCTION("GOOGLETRANSLATE(B45, ""en"", ""vi"")"),"Agonite Bar.")</f>
        <v>Agonite Bar.</v>
      </c>
      <c r="L45" s="26" t="str">
        <f ca="1">IFERROR(__xludf.DUMMYFUNCTION("GOOGLETRANSLATE(B45, ""en"", ""hr"")"),"Agonit")</f>
        <v>Agonit</v>
      </c>
      <c r="M45" s="28"/>
      <c r="N45" s="28"/>
      <c r="O45" s="28"/>
      <c r="P45" s="28"/>
      <c r="Q45" s="28"/>
      <c r="R45" s="28"/>
      <c r="S45" s="28"/>
      <c r="T45" s="28"/>
      <c r="U45" s="28"/>
      <c r="V45" s="28"/>
      <c r="W45" s="28"/>
      <c r="X45" s="28"/>
      <c r="Y45" s="28"/>
      <c r="Z45" s="28"/>
      <c r="AA45" s="28"/>
      <c r="AB45" s="28"/>
    </row>
    <row r="46" spans="1:28" ht="15.75" customHeight="1" x14ac:dyDescent="0.15">
      <c r="A46" s="40" t="s">
        <v>476</v>
      </c>
      <c r="B46" s="22" t="s">
        <v>477</v>
      </c>
      <c r="C46" s="23" t="str">
        <f ca="1">IFERROR(__xludf.DUMMYFUNCTION("GOOGLETRANSLATE(B46, ""en"", ""fr"")"),"Peut être conçu dans un équipement d'agonite.")</f>
        <v>Peut être conçu dans un équipement d'agonite.</v>
      </c>
      <c r="D46" s="23" t="str">
        <f ca="1">IFERROR(__xludf.DUMMYFUNCTION("GOOGLETRANSLATE(B46, ""en"", ""es"")"),"Puede ser diseñado en equipos de agonita.")</f>
        <v>Puede ser diseñado en equipos de agonita.</v>
      </c>
      <c r="E46" s="23" t="str">
        <f ca="1">IFERROR(__xludf.DUMMYFUNCTION("GOOGLETRANSLATE(B46, ""en"", ""ru"")"),"Может быть создан в агонитовое оборудование.")</f>
        <v>Может быть создан в агонитовое оборудование.</v>
      </c>
      <c r="F46" s="23" t="str">
        <f ca="1">IFERROR(__xludf.DUMMYFUNCTION("GOOGLETRANSLATE(B46, ""en"", ""tr"")"),"Agonit ekipmanına sokulabilir.")</f>
        <v>Agonit ekipmanına sokulabilir.</v>
      </c>
      <c r="G46" s="23" t="str">
        <f ca="1">IFERROR(__xludf.DUMMYFUNCTION("GOOGLETRANSLATE(B46, ""en"", ""pt"")"),"Pode ser criado em equipamentos de agonite.")</f>
        <v>Pode ser criado em equipamentos de agonite.</v>
      </c>
      <c r="H46" s="24" t="str">
        <f ca="1">IFERROR(__xludf.DUMMYFUNCTION("GOOGLETRANSLATE(B46, ""en"", ""de"")"),"Kann in Agonitausrüstung gefertigt werden.")</f>
        <v>Kann in Agonitausrüstung gefertigt werden.</v>
      </c>
      <c r="I46" s="23" t="str">
        <f ca="1">IFERROR(__xludf.DUMMYFUNCTION("GOOGLETRANSLATE(B46, ""en"", ""pl"")"),"Może być wykonany w sprzęt agonite.")</f>
        <v>Może być wykonany w sprzęt agonite.</v>
      </c>
      <c r="J46" s="25" t="str">
        <f ca="1">IFERROR(__xludf.DUMMYFUNCTION("GOOGLETRANSLATE(B46, ""en"", ""zh"")"),"可以制作成艾莫尼石设备。")</f>
        <v>可以制作成艾莫尼石设备。</v>
      </c>
      <c r="K46" s="25" t="str">
        <f ca="1">IFERROR(__xludf.DUMMYFUNCTION("GOOGLETRANSLATE(B46, ""en"", ""vi"")"),"Có thể được chế tạo thành thiết bị Agonite.")</f>
        <v>Có thể được chế tạo thành thiết bị Agonite.</v>
      </c>
      <c r="L46" s="26" t="str">
        <f ca="1">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spans="1:28" ht="15.75" customHeight="1" x14ac:dyDescent="0.15">
      <c r="A47" s="40" t="s">
        <v>478</v>
      </c>
      <c r="B47" s="22" t="s">
        <v>479</v>
      </c>
      <c r="C47" s="23" t="str">
        <f ca="1">IFERROR(__xludf.DUMMYFUNCTION("GOOGLETRANSLATE(B47, ""en"", ""fr"")"),"Minerai de noctis")</f>
        <v>Minerai de noctis</v>
      </c>
      <c r="D47" s="23" t="str">
        <f ca="1">IFERROR(__xludf.DUMMYFUNCTION("GOOGLETRANSLATE(B47, ""en"", ""es"")"),"Noctis mineral")</f>
        <v>Noctis mineral</v>
      </c>
      <c r="E47" s="23" t="str">
        <f ca="1">IFERROR(__xludf.DUMMYFUNCTION("GOOGLETRANSLATE(B47, ""en"", ""ru"")"),"Ноктис руда")</f>
        <v>Ноктис руда</v>
      </c>
      <c r="F47" s="23" t="str">
        <f ca="1">IFERROR(__xludf.DUMMYFUNCTION("GOOGLETRANSLATE(B47, ""en"", ""tr"")"),"Noctis cevheri")</f>
        <v>Noctis cevheri</v>
      </c>
      <c r="G47" s="23" t="str">
        <f ca="1">IFERROR(__xludf.DUMMYFUNCTION("GOOGLETRANSLATE(B47, ""en"", ""pt"")"),"Noctis minério")</f>
        <v>Noctis minério</v>
      </c>
      <c r="H47" s="24" t="str">
        <f ca="1">IFERROR(__xludf.DUMMYFUNCTION("GOOGLETRANSLATE(B47, ""en"", ""de"")"),"Noctis-Erz.")</f>
        <v>Noctis-Erz.</v>
      </c>
      <c r="I47" s="23" t="str">
        <f ca="1">IFERROR(__xludf.DUMMYFUNCTION("GOOGLETRANSLATE(B47, ""en"", ""pl"")"),"Noctis Ore.")</f>
        <v>Noctis Ore.</v>
      </c>
      <c r="J47" s="25" t="str">
        <f ca="1">IFERROR(__xludf.DUMMYFUNCTION("GOOGLETRANSLATE(B47, ""en"", ""zh"")"),"诺克斯矿石")</f>
        <v>诺克斯矿石</v>
      </c>
      <c r="K47" s="25" t="str">
        <f ca="1">IFERROR(__xludf.DUMMYFUNCTION("GOOGLETRANSLATE(B47, ""en"", ""vi"")"),"Quặng Noctis.")</f>
        <v>Quặng Noctis.</v>
      </c>
      <c r="L47" s="26" t="str">
        <f ca="1">IFERROR(__xludf.DUMMYFUNCTION("GOOGLETRANSLATE(B47, ""en"", ""hr"")"),"Noctis rude")</f>
        <v>Noctis rude</v>
      </c>
      <c r="M47" s="28"/>
      <c r="N47" s="28"/>
      <c r="O47" s="28"/>
      <c r="P47" s="28"/>
      <c r="Q47" s="28"/>
      <c r="R47" s="28"/>
      <c r="S47" s="28"/>
      <c r="T47" s="28"/>
      <c r="U47" s="28"/>
      <c r="V47" s="28"/>
      <c r="W47" s="28"/>
      <c r="X47" s="28"/>
      <c r="Y47" s="28"/>
      <c r="Z47" s="28"/>
      <c r="AA47" s="28"/>
      <c r="AB47" s="28"/>
    </row>
    <row r="48" spans="1:28" ht="15.75" customHeight="1" x14ac:dyDescent="0.15">
      <c r="A48" s="40" t="s">
        <v>480</v>
      </c>
      <c r="B48" s="22" t="s">
        <v>481</v>
      </c>
      <c r="C48" s="23" t="str">
        <f ca="1">IFERROR(__xludf.DUMMYFUNCTION("GOOGLETRANSLATE(B48, ""en"", ""fr"")"),"Peut être fabriqué dans une barre Noctis dans un four.")</f>
        <v>Peut être fabriqué dans une barre Noctis dans un four.</v>
      </c>
      <c r="D48" s="23" t="str">
        <f ca="1">IFERROR(__xludf.DUMMYFUNCTION("GOOGLETRANSLATE(B48, ""en"", ""es"")"),"Puede ser diseñado en una barra de noctis en un horno.")</f>
        <v>Puede ser diseñado en una barra de noctis en un horno.</v>
      </c>
      <c r="E48" s="23" t="str">
        <f ca="1">IFERROR(__xludf.DUMMYFUNCTION("GOOGLETRANSLATE(B48, ""en"", ""ru"")"),"Может быть создан в батончик Noctis в печи.")</f>
        <v>Может быть создан в батончик Noctis в печи.</v>
      </c>
      <c r="F48" s="23" t="str">
        <f ca="1">IFERROR(__xludf.DUMMYFUNCTION("GOOGLETRANSLATE(B48, ""en"", ""tr"")"),"Bir fırında bir Noctis çubuğuna sokulabilir.")</f>
        <v>Bir fırında bir Noctis çubuğuna sokulabilir.</v>
      </c>
      <c r="G48" s="23" t="str">
        <f ca="1">IFERROR(__xludf.DUMMYFUNCTION("GOOGLETRANSLATE(B48, ""en"", ""pt"")"),"Pode ser criado em uma barra de noctis em um forno.")</f>
        <v>Pode ser criado em uma barra de noctis em um forno.</v>
      </c>
      <c r="H48" s="24" t="str">
        <f ca="1">IFERROR(__xludf.DUMMYFUNCTION("GOOGLETRANSLATE(B48, ""en"", ""de"")"),"Kann in einer Noctis-Bar in einem Ofen gefertigt werden.")</f>
        <v>Kann in einer Noctis-Bar in einem Ofen gefertigt werden.</v>
      </c>
      <c r="I48" s="23" t="str">
        <f ca="1">IFERROR(__xludf.DUMMYFUNCTION("GOOGLETRANSLATE(B48, ""en"", ""pl"")"),"Może być wykonany w barze Noctis w piecu.")</f>
        <v>Może być wykonany w barze Noctis w piecu.</v>
      </c>
      <c r="J48" s="25" t="str">
        <f ca="1">IFERROR(__xludf.DUMMYFUNCTION("GOOGLETRANSLATE(B48, ""en"", ""zh"")"),"可以在炉子上制作到夜光棒中。")</f>
        <v>可以在炉子上制作到夜光棒中。</v>
      </c>
      <c r="K48" s="25" t="str">
        <f ca="1">IFERROR(__xludf.DUMMYFUNCTION("GOOGLETRANSLATE(B48, ""en"", ""vi"")"),"Có thể được chế tạo thành một thanh noctis tại một lò.")</f>
        <v>Có thể được chế tạo thành một thanh noctis tại một lò.</v>
      </c>
      <c r="L48" s="26" t="str">
        <f ca="1">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spans="1:28" ht="15.75" customHeight="1" x14ac:dyDescent="0.15">
      <c r="A49" s="40" t="s">
        <v>482</v>
      </c>
      <c r="B49" s="22" t="s">
        <v>483</v>
      </c>
      <c r="C49" s="23" t="str">
        <f ca="1">IFERROR(__xludf.DUMMYFUNCTION("GOOGLETRANSLATE(B49, ""en"", ""fr"")"),"Barreau de noctis")</f>
        <v>Barreau de noctis</v>
      </c>
      <c r="D49" s="23" t="str">
        <f ca="1">IFERROR(__xludf.DUMMYFUNCTION("GOOGLETRANSLATE(B49, ""en"", ""es"")"),"Barra nocturna")</f>
        <v>Barra nocturna</v>
      </c>
      <c r="E49" s="23" t="str">
        <f ca="1">IFERROR(__xludf.DUMMYFUNCTION("GOOGLETRANSLATE(B49, ""en"", ""ru"")"),"Бар Noctis")</f>
        <v>Бар Noctis</v>
      </c>
      <c r="F49" s="23" t="str">
        <f ca="1">IFERROR(__xludf.DUMMYFUNCTION("GOOGLETRANSLATE(B49, ""en"", ""tr"")"),"Noctis bar")</f>
        <v>Noctis bar</v>
      </c>
      <c r="G49" s="23" t="str">
        <f ca="1">IFERROR(__xludf.DUMMYFUNCTION("GOOGLETRANSLATE(B49, ""en"", ""pt"")"),"Noctis Bar")</f>
        <v>Noctis Bar</v>
      </c>
      <c r="H49" s="24" t="str">
        <f ca="1">IFERROR(__xludf.DUMMYFUNCTION("GOOGLETRANSLATE(B49, ""en"", ""de"")"),"Noctis-Bar")</f>
        <v>Noctis-Bar</v>
      </c>
      <c r="I49" s="23" t="str">
        <f ca="1">IFERROR(__xludf.DUMMYFUNCTION("GOOGLETRANSLATE(B49, ""en"", ""pl"")"),"Pasek Noctis.")</f>
        <v>Pasek Noctis.</v>
      </c>
      <c r="J49" s="25" t="str">
        <f ca="1">IFERROR(__xludf.DUMMYFUNCTION("GOOGLETRANSLATE(B49, ""en"", ""zh"")"),"诺克斯酒吧")</f>
        <v>诺克斯酒吧</v>
      </c>
      <c r="K49" s="25" t="str">
        <f ca="1">IFERROR(__xludf.DUMMYFUNCTION("GOOGLETRANSLATE(B49, ""en"", ""vi"")"),"Noctis Bar.")</f>
        <v>Noctis Bar.</v>
      </c>
      <c r="L49" s="26" t="str">
        <f ca="1">IFERROR(__xludf.DUMMYFUNCTION("GOOGLETRANSLATE(B49, ""en"", ""hr"")"),"Noctis bar")</f>
        <v>Noctis bar</v>
      </c>
      <c r="M49" s="28"/>
      <c r="N49" s="28"/>
      <c r="O49" s="28"/>
      <c r="P49" s="28"/>
      <c r="Q49" s="28"/>
      <c r="R49" s="28"/>
      <c r="S49" s="28"/>
      <c r="T49" s="28"/>
      <c r="U49" s="28"/>
      <c r="V49" s="28"/>
      <c r="W49" s="28"/>
      <c r="X49" s="28"/>
      <c r="Y49" s="28"/>
      <c r="Z49" s="28"/>
      <c r="AA49" s="28"/>
      <c r="AB49" s="28"/>
    </row>
    <row r="50" spans="1:28" ht="42" x14ac:dyDescent="0.15">
      <c r="A50" s="40" t="s">
        <v>484</v>
      </c>
      <c r="B50" s="22" t="s">
        <v>485</v>
      </c>
      <c r="C50" s="23" t="str">
        <f ca="1">IFERROR(__xludf.DUMMYFUNCTION("GOOGLETRANSLATE(B50, ""en"", ""fr"")"),"Peut être conçu dans un équipement NOCTIS.")</f>
        <v>Peut être conçu dans un équipement NOCTIS.</v>
      </c>
      <c r="D50" s="23" t="str">
        <f ca="1">IFERROR(__xludf.DUMMYFUNCTION("GOOGLETRANSLATE(B50, ""en"", ""es"")"),"Se puede crear en equipos de noctura.")</f>
        <v>Se puede crear en equipos de noctura.</v>
      </c>
      <c r="E50" s="23" t="str">
        <f ca="1">IFERROR(__xludf.DUMMYFUNCTION("GOOGLETRANSLATE(B50, ""en"", ""ru"")"),"Может быть создан на оборудование Noctis.")</f>
        <v>Может быть создан на оборудование Noctis.</v>
      </c>
      <c r="F50" s="23" t="str">
        <f ca="1">IFERROR(__xludf.DUMMYFUNCTION("GOOGLETRANSLATE(B50, ""en"", ""tr"")"),"Noctis ekipmanlarına sokulabilir.")</f>
        <v>Noctis ekipmanlarına sokulabilir.</v>
      </c>
      <c r="G50" s="23" t="str">
        <f ca="1">IFERROR(__xludf.DUMMYFUNCTION("GOOGLETRANSLATE(B50, ""en"", ""pt"")"),"Pode ser criado em equipamentos noctis.")</f>
        <v>Pode ser criado em equipamentos noctis.</v>
      </c>
      <c r="H50" s="24" t="str">
        <f ca="1">IFERROR(__xludf.DUMMYFUNCTION("GOOGLETRANSLATE(B50, ""en"", ""de"")"),"Kann in Noctis-Geräte gefertigt werden.")</f>
        <v>Kann in Noctis-Geräte gefertigt werden.</v>
      </c>
      <c r="I50" s="23" t="str">
        <f ca="1">IFERROR(__xludf.DUMMYFUNCTION("GOOGLETRANSLATE(B50, ""en"", ""pl"")"),"Może być wykonany na sprzęt Noctis.")</f>
        <v>Może być wykonany na sprzęt Noctis.</v>
      </c>
      <c r="J50" s="25" t="str">
        <f ca="1">IFERROR(__xludf.DUMMYFUNCTION("GOOGLETRANSLATE(B50, ""en"", ""zh"")"),"可以制作到夜游设备中。")</f>
        <v>可以制作到夜游设备中。</v>
      </c>
      <c r="K50" s="25" t="str">
        <f ca="1">IFERROR(__xludf.DUMMYFUNCTION("GOOGLETRANSLATE(B50, ""en"", ""vi"")"),"Có thể được chế tạo thành thiết bị Noctis.")</f>
        <v>Có thể được chế tạo thành thiết bị Noctis.</v>
      </c>
      <c r="L50" s="26" t="str">
        <f ca="1">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spans="1:28" ht="14" x14ac:dyDescent="0.15">
      <c r="A51" s="40" t="s">
        <v>486</v>
      </c>
      <c r="B51" s="22" t="s">
        <v>487</v>
      </c>
      <c r="C51" s="23" t="str">
        <f ca="1">IFERROR(__xludf.DUMMYFUNCTION("GOOGLETRANSLATE(B51, ""en"", ""fr"")"),"Plein d'importance")</f>
        <v>Plein d'importance</v>
      </c>
      <c r="D51" s="23" t="str">
        <f ca="1">IFERROR(__xludf.DUMMYFUNCTION("GOOGLETRANSLATE(B51, ""en"", ""es"")"),"Materia prima")</f>
        <v>Materia prima</v>
      </c>
      <c r="E51" s="23" t="str">
        <f ca="1">IFERROR(__xludf.DUMMYFUNCTION("GOOGLETRANSLATE(B51, ""en"", ""ru"")"),"Главная материя")</f>
        <v>Главная материя</v>
      </c>
      <c r="F51" s="23" t="str">
        <f ca="1">IFERROR(__xludf.DUMMYFUNCTION("GOOGLETRANSLATE(B51, ""en"", ""tr"")"),"Başta madde")</f>
        <v>Başta madde</v>
      </c>
      <c r="G51" s="23" t="str">
        <f ca="1">IFERROR(__xludf.DUMMYFUNCTION("GOOGLETRANSLATE(B51, ""en"", ""pt"")"),"Prime Matter.")</f>
        <v>Prime Matter.</v>
      </c>
      <c r="H51" s="24" t="str">
        <f ca="1">IFERROR(__xludf.DUMMYFUNCTION("GOOGLETRANSLATE(B51, ""en"", ""de"")"),"Primate")</f>
        <v>Primate</v>
      </c>
      <c r="I51" s="23" t="str">
        <f ca="1">IFERROR(__xludf.DUMMYFUNCTION("GOOGLETRANSLATE(B51, ""en"", ""pl"")"),"Prężna sprawa")</f>
        <v>Prężna sprawa</v>
      </c>
      <c r="J51" s="25" t="str">
        <f ca="1">IFERROR(__xludf.DUMMYFUNCTION("GOOGLETRANSLATE(B51, ""en"", ""zh"")"),"主要问题")</f>
        <v>主要问题</v>
      </c>
      <c r="K51" s="25" t="str">
        <f ca="1">IFERROR(__xludf.DUMMYFUNCTION("GOOGLETRANSLATE(B51, ""en"", ""vi"")"),"Quan trọng")</f>
        <v>Quan trọng</v>
      </c>
      <c r="L51" s="26" t="str">
        <f ca="1">IFERROR(__xludf.DUMMYFUNCTION("GOOGLETRANSLATE(B51, ""en"", ""hr"")"),"Početna stvar")</f>
        <v>Početna stvar</v>
      </c>
      <c r="M51" s="28"/>
      <c r="N51" s="28"/>
      <c r="O51" s="28"/>
      <c r="P51" s="28"/>
      <c r="Q51" s="28"/>
      <c r="R51" s="28"/>
      <c r="S51" s="28"/>
      <c r="T51" s="28"/>
      <c r="U51" s="28"/>
      <c r="V51" s="28"/>
      <c r="W51" s="28"/>
      <c r="X51" s="28"/>
      <c r="Y51" s="28"/>
      <c r="Z51" s="28"/>
      <c r="AA51" s="28"/>
      <c r="AB51" s="28"/>
    </row>
    <row r="52" spans="1:28" ht="84" x14ac:dyDescent="0.15">
      <c r="A52" s="40" t="s">
        <v>488</v>
      </c>
      <c r="B52" s="22" t="s">
        <v>489</v>
      </c>
      <c r="C52" s="23" t="str">
        <f ca="1">IFERROR(__xludf.DUMMYFUNCTION("GOOGLETRANSLATE(B52, ""en"", ""fr"")"),"Une substance mystérieuse qui peut prendre n'importe quelle forme l'utilisateur désire.")</f>
        <v>Une substance mystérieuse qui peut prendre n'importe quelle forme l'utilisateur désire.</v>
      </c>
      <c r="D52" s="23" t="str">
        <f ca="1">IFERROR(__xludf.DUMMYFUNCTION("GOOGLETRANSLATE(B52, ""en"", ""es"")"),"Una sustancia misteriosa que puede asumir cualquier forma que desee el usuario.")</f>
        <v>Una sustancia misteriosa que puede asumir cualquier forma que desee el usuario.</v>
      </c>
      <c r="E52" s="23" t="str">
        <f ca="1">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 ca="1">IFERROR(__xludf.DUMMYFUNCTION("GOOGLETRANSLATE(B52, ""en"", ""tr"")"),"Kullanıcı istediği herhangi bir formu alabilecek gizemli bir madde.")</f>
        <v>Kullanıcı istediği herhangi bir formu alabilecek gizemli bir madde.</v>
      </c>
      <c r="G52" s="23" t="str">
        <f ca="1">IFERROR(__xludf.DUMMYFUNCTION("GOOGLETRANSLATE(B52, ""en"", ""pt"")"),"Uma misteriosa substância que pode assumir qualquer forma que o usuário deseja.")</f>
        <v>Uma misteriosa substância que pode assumir qualquer forma que o usuário deseja.</v>
      </c>
      <c r="H52" s="24" t="str">
        <f ca="1">IFERROR(__xludf.DUMMYFUNCTION("GOOGLETRANSLATE(B52, ""en"", ""de"")"),"Eine geheimnisvolle Substanz, die an einem beliebigen Formular den Benutzer wünscht.")</f>
        <v>Eine geheimnisvolle Substanz, die an einem beliebigen Formular den Benutzer wünscht.</v>
      </c>
      <c r="I52" s="23" t="str">
        <f ca="1">IFERROR(__xludf.DUMMYFUNCTION("GOOGLETRANSLATE(B52, ""en"", ""pl"")"),"Tajemnicza substancja, która może podjąć jakąś formę, pragnie użytkownika.")</f>
        <v>Tajemnicza substancja, która może podjąć jakąś formę, pragnie użytkownika.</v>
      </c>
      <c r="J52" s="25" t="str">
        <f ca="1">IFERROR(__xludf.DUMMYFUNCTION("GOOGLETRANSLATE(B52, ""en"", ""zh"")"),"一个神秘的物质，可以在用户欲望中采取任何形式。")</f>
        <v>一个神秘的物质，可以在用户欲望中采取任何形式。</v>
      </c>
      <c r="K52" s="25" t="str">
        <f ca="1">IFERROR(__xludf.DUMMYFUNCTION("GOOGLETRANSLATE(B52, ""en"", ""vi"")"),"Một chất bí ẩn có thể có bất kỳ hình thức nào mà người dùng mong muốn.")</f>
        <v>Một chất bí ẩn có thể có bất kỳ hình thức nào mà người dùng mong muốn.</v>
      </c>
      <c r="L52" s="26" t="str">
        <f ca="1">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spans="1:28" ht="14" x14ac:dyDescent="0.15">
      <c r="A53" s="40" t="s">
        <v>490</v>
      </c>
      <c r="B53" s="22" t="s">
        <v>491</v>
      </c>
      <c r="C53" s="23" t="str">
        <f ca="1">IFERROR(__xludf.DUMMYFUNCTION("GOOGLETRANSLATE(B53, ""en"", ""fr"")"),"Bûches de pin")</f>
        <v>Bûches de pin</v>
      </c>
      <c r="D53" s="23" t="str">
        <f ca="1">IFERROR(__xludf.DUMMYFUNCTION("GOOGLETRANSLATE(B53, ""en"", ""es"")"),"Troncos de pino")</f>
        <v>Troncos de pino</v>
      </c>
      <c r="E53" s="23" t="str">
        <f ca="1">IFERROR(__xludf.DUMMYFUNCTION("GOOGLETRANSLATE(B53, ""en"", ""ru"")"),"Журналы сосны")</f>
        <v>Журналы сосны</v>
      </c>
      <c r="F53" s="23" t="str">
        <f ca="1">IFERROR(__xludf.DUMMYFUNCTION("GOOGLETRANSLATE(B53, ""en"", ""tr"")"),"Çam günlükleri")</f>
        <v>Çam günlükleri</v>
      </c>
      <c r="G53" s="23" t="str">
        <f ca="1">IFERROR(__xludf.DUMMYFUNCTION("GOOGLETRANSLATE(B53, ""en"", ""pt"")"),"Logs de pinheiros")</f>
        <v>Logs de pinheiros</v>
      </c>
      <c r="H53" s="24" t="str">
        <f ca="1">IFERROR(__xludf.DUMMYFUNCTION("GOOGLETRANSLATE(B53, ""en"", ""de"")"),"Kiefer-Protokolle")</f>
        <v>Kiefer-Protokolle</v>
      </c>
      <c r="I53" s="23" t="str">
        <f ca="1">IFERROR(__xludf.DUMMYFUNCTION("GOOGLETRANSLATE(B53, ""en"", ""pl"")"),"Kłody sosnowe.")</f>
        <v>Kłody sosnowe.</v>
      </c>
      <c r="J53" s="25" t="str">
        <f ca="1">IFERROR(__xludf.DUMMYFUNCTION("GOOGLETRANSLATE(B53, ""en"", ""zh"")"),"松木日志")</f>
        <v>松木日志</v>
      </c>
      <c r="K53" s="25" t="str">
        <f ca="1">IFERROR(__xludf.DUMMYFUNCTION("GOOGLETRANSLATE(B53, ""en"", ""vi"")"),"Nhật ký thông")</f>
        <v>Nhật ký thông</v>
      </c>
      <c r="L53" s="26" t="str">
        <f ca="1">IFERROR(__xludf.DUMMYFUNCTION("GOOGLETRANSLATE(B53, ""en"", ""hr"")"),"Borove trupce")</f>
        <v>Borove trupce</v>
      </c>
      <c r="M53" s="28"/>
      <c r="N53" s="28"/>
      <c r="O53" s="28"/>
      <c r="P53" s="28"/>
      <c r="Q53" s="28"/>
      <c r="R53" s="28"/>
      <c r="S53" s="28"/>
      <c r="T53" s="28"/>
      <c r="U53" s="28"/>
      <c r="V53" s="28"/>
      <c r="W53" s="28"/>
      <c r="X53" s="28"/>
      <c r="Y53" s="28"/>
      <c r="Z53" s="28"/>
      <c r="AA53" s="28"/>
      <c r="AB53" s="28"/>
    </row>
    <row r="54" spans="1:28" ht="28" x14ac:dyDescent="0.15">
      <c r="A54" s="40" t="s">
        <v>492</v>
      </c>
      <c r="B54" s="22" t="s">
        <v>493</v>
      </c>
      <c r="C54" s="23" t="str">
        <f ca="1">IFERROR(__xludf.DUMMYFUNCTION("GOOGLETRANSLATE(B54, ""en"", ""fr"")"),"Un matériau d'artisanat de base.")</f>
        <v>Un matériau d'artisanat de base.</v>
      </c>
      <c r="D54" s="23" t="str">
        <f ca="1">IFERROR(__xludf.DUMMYFUNCTION("GOOGLETRANSLATE(B54, ""en"", ""es"")"),"Un material de elaboración básico.")</f>
        <v>Un material de elaboración básico.</v>
      </c>
      <c r="E54" s="23" t="str">
        <f ca="1">IFERROR(__xludf.DUMMYFUNCTION("GOOGLETRANSLATE(B54, ""en"", ""ru"")"),"Основной материал для крафта.")</f>
        <v>Основной материал для крафта.</v>
      </c>
      <c r="F54" s="23" t="str">
        <f ca="1">IFERROR(__xludf.DUMMYFUNCTION("GOOGLETRANSLATE(B54, ""en"", ""tr"")"),"Temel bir işçilik malzemesi.")</f>
        <v>Temel bir işçilik malzemesi.</v>
      </c>
      <c r="G54" s="23" t="str">
        <f ca="1">IFERROR(__xludf.DUMMYFUNCTION("GOOGLETRANSLATE(B54, ""en"", ""pt"")"),"Um material básico de criação.")</f>
        <v>Um material básico de criação.</v>
      </c>
      <c r="H54" s="24" t="str">
        <f ca="1">IFERROR(__xludf.DUMMYFUNCTION("GOOGLETRANSLATE(B54, ""en"", ""de"")"),"Ein grundlegendes Bastelmaterial.")</f>
        <v>Ein grundlegendes Bastelmaterial.</v>
      </c>
      <c r="I54" s="23" t="str">
        <f ca="1">IFERROR(__xludf.DUMMYFUNCTION("GOOGLETRANSLATE(B54, ""en"", ""pl"")"),"Podstawowy materiał rzemieślniczy.")</f>
        <v>Podstawowy materiał rzemieślniczy.</v>
      </c>
      <c r="J54" s="25" t="str">
        <f ca="1">IFERROR(__xludf.DUMMYFUNCTION("GOOGLETRANSLATE(B54, ""en"", ""zh"")"),"一种基本的制作材料。")</f>
        <v>一种基本的制作材料。</v>
      </c>
      <c r="K54" s="25" t="str">
        <f ca="1">IFERROR(__xludf.DUMMYFUNCTION("GOOGLETRANSLATE(B54, ""en"", ""vi"")"),"Một vật liệu chế tạo cơ bản.")</f>
        <v>Một vật liệu chế tạo cơ bản.</v>
      </c>
      <c r="L54" s="26" t="str">
        <f ca="1">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spans="1:28" ht="14" x14ac:dyDescent="0.15">
      <c r="A55" s="40" t="s">
        <v>494</v>
      </c>
      <c r="B55" s="22" t="s">
        <v>495</v>
      </c>
      <c r="C55" s="23" t="str">
        <f ca="1">IFERROR(__xludf.DUMMYFUNCTION("GOOGLETRANSLATE(B55, ""en"", ""fr"")"),"Journaux de saule")</f>
        <v>Journaux de saule</v>
      </c>
      <c r="D55" s="23" t="str">
        <f ca="1">IFERROR(__xludf.DUMMYFUNCTION("GOOGLETRANSLATE(B55, ""en"", ""es"")"),"Registros de sauce")</f>
        <v>Registros de sauce</v>
      </c>
      <c r="E55" s="23" t="str">
        <f ca="1">IFERROR(__xludf.DUMMYFUNCTION("GOOGLETRANSLATE(B55, ""en"", ""ru"")"),"Логи Ибы")</f>
        <v>Логи Ибы</v>
      </c>
      <c r="F55" s="23" t="str">
        <f ca="1">IFERROR(__xludf.DUMMYFUNCTION("GOOGLETRANSLATE(B55, ""en"", ""tr"")"),"Söğüt günlükleri")</f>
        <v>Söğüt günlükleri</v>
      </c>
      <c r="G55" s="23" t="str">
        <f ca="1">IFERROR(__xludf.DUMMYFUNCTION("GOOGLETRANSLATE(B55, ""en"", ""pt"")"),"Logs de salgueiro")</f>
        <v>Logs de salgueiro</v>
      </c>
      <c r="H55" s="24" t="str">
        <f ca="1">IFERROR(__xludf.DUMMYFUNCTION("GOOGLETRANSLATE(B55, ""en"", ""de"")"),"Willow-Protokolle")</f>
        <v>Willow-Protokolle</v>
      </c>
      <c r="I55" s="23" t="str">
        <f ca="1">IFERROR(__xludf.DUMMYFUNCTION("GOOGLETRANSLATE(B55, ""en"", ""pl"")"),"Logi Willow.")</f>
        <v>Logi Willow.</v>
      </c>
      <c r="J55" s="25" t="str">
        <f ca="1">IFERROR(__xludf.DUMMYFUNCTION("GOOGLETRANSLATE(B55, ""en"", ""zh"")"),"柳树日志")</f>
        <v>柳树日志</v>
      </c>
      <c r="K55" s="25" t="str">
        <f ca="1">IFERROR(__xludf.DUMMYFUNCTION("GOOGLETRANSLATE(B55, ""en"", ""vi"")"),"Nhật ký liễu.")</f>
        <v>Nhật ký liễu.</v>
      </c>
      <c r="L55" s="26" t="str">
        <f ca="1">IFERROR(__xludf.DUMMYFUNCTION("GOOGLETRANSLATE(B55, ""en"", ""hr"")"),"Vrba")</f>
        <v>Vrba</v>
      </c>
      <c r="M55" s="28"/>
      <c r="N55" s="28"/>
      <c r="O55" s="28"/>
      <c r="P55" s="28"/>
      <c r="Q55" s="28"/>
      <c r="R55" s="28"/>
      <c r="S55" s="28"/>
      <c r="T55" s="28"/>
      <c r="U55" s="28"/>
      <c r="V55" s="28"/>
      <c r="W55" s="28"/>
      <c r="X55" s="28"/>
      <c r="Y55" s="28"/>
      <c r="Z55" s="28"/>
      <c r="AA55" s="28"/>
      <c r="AB55" s="28"/>
    </row>
    <row r="56" spans="1:28" ht="28" x14ac:dyDescent="0.15">
      <c r="A56" s="40" t="s">
        <v>496</v>
      </c>
      <c r="B56" s="22" t="s">
        <v>493</v>
      </c>
      <c r="C56" s="23" t="str">
        <f ca="1">IFERROR(__xludf.DUMMYFUNCTION("GOOGLETRANSLATE(B56, ""en"", ""fr"")"),"Un matériau d'artisanat de base.")</f>
        <v>Un matériau d'artisanat de base.</v>
      </c>
      <c r="D56" s="23" t="str">
        <f ca="1">IFERROR(__xludf.DUMMYFUNCTION("GOOGLETRANSLATE(B56, ""en"", ""es"")"),"Un material de elaboración básico.")</f>
        <v>Un material de elaboración básico.</v>
      </c>
      <c r="E56" s="23" t="str">
        <f ca="1">IFERROR(__xludf.DUMMYFUNCTION("GOOGLETRANSLATE(B56, ""en"", ""ru"")"),"Основной материал для крафта.")</f>
        <v>Основной материал для крафта.</v>
      </c>
      <c r="F56" s="23" t="str">
        <f ca="1">IFERROR(__xludf.DUMMYFUNCTION("GOOGLETRANSLATE(B56, ""en"", ""tr"")"),"Temel bir işçilik malzemesi.")</f>
        <v>Temel bir işçilik malzemesi.</v>
      </c>
      <c r="G56" s="23" t="str">
        <f ca="1">IFERROR(__xludf.DUMMYFUNCTION("GOOGLETRANSLATE(B56, ""en"", ""pt"")"),"Um material básico de criação.")</f>
        <v>Um material básico de criação.</v>
      </c>
      <c r="H56" s="24" t="str">
        <f ca="1">IFERROR(__xludf.DUMMYFUNCTION("GOOGLETRANSLATE(B56, ""en"", ""de"")"),"Ein grundlegendes Bastelmaterial.")</f>
        <v>Ein grundlegendes Bastelmaterial.</v>
      </c>
      <c r="I56" s="23" t="str">
        <f ca="1">IFERROR(__xludf.DUMMYFUNCTION("GOOGLETRANSLATE(B56, ""en"", ""pl"")"),"Podstawowy materiał rzemieślniczy.")</f>
        <v>Podstawowy materiał rzemieślniczy.</v>
      </c>
      <c r="J56" s="25" t="str">
        <f ca="1">IFERROR(__xludf.DUMMYFUNCTION("GOOGLETRANSLATE(B56, ""en"", ""zh"")"),"一种基本的制作材料。")</f>
        <v>一种基本的制作材料。</v>
      </c>
      <c r="K56" s="25" t="str">
        <f ca="1">IFERROR(__xludf.DUMMYFUNCTION("GOOGLETRANSLATE(B56, ""en"", ""vi"")"),"Một vật liệu chế tạo cơ bản.")</f>
        <v>Một vật liệu chế tạo cơ bản.</v>
      </c>
      <c r="L56" s="26" t="str">
        <f ca="1">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spans="1:28" ht="14" x14ac:dyDescent="0.15">
      <c r="A57" s="40" t="s">
        <v>497</v>
      </c>
      <c r="B57" s="22" t="s">
        <v>498</v>
      </c>
      <c r="C57" s="23" t="str">
        <f ca="1">IFERROR(__xludf.DUMMYFUNCTION("GOOGLETRANSLATE(B57, ""en"", ""fr"")"),"Journaux de chêne")</f>
        <v>Journaux de chêne</v>
      </c>
      <c r="D57" s="23" t="str">
        <f ca="1">IFERROR(__xludf.DUMMYFUNCTION("GOOGLETRANSLATE(B57, ""en"", ""es"")"),"Registros de roble")</f>
        <v>Registros de roble</v>
      </c>
      <c r="E57" s="23" t="str">
        <f ca="1">IFERROR(__xludf.DUMMYFUNCTION("GOOGLETRANSLATE(B57, ""en"", ""ru"")"),"Дубовые журналы")</f>
        <v>Дубовые журналы</v>
      </c>
      <c r="F57" s="23" t="str">
        <f ca="1">IFERROR(__xludf.DUMMYFUNCTION("GOOGLETRANSLATE(B57, ""en"", ""tr"")"),"Meşe günlükleri")</f>
        <v>Meşe günlükleri</v>
      </c>
      <c r="G57" s="23" t="str">
        <f ca="1">IFERROR(__xludf.DUMMYFUNCTION("GOOGLETRANSLATE(B57, ""en"", ""pt"")"),"Logs de carvalho")</f>
        <v>Logs de carvalho</v>
      </c>
      <c r="H57" s="24" t="str">
        <f ca="1">IFERROR(__xludf.DUMMYFUNCTION("GOOGLETRANSLATE(B57, ""en"", ""de"")"),"Eichelprotokolle")</f>
        <v>Eichelprotokolle</v>
      </c>
      <c r="I57" s="23" t="str">
        <f ca="1">IFERROR(__xludf.DUMMYFUNCTION("GOOGLETRANSLATE(B57, ""en"", ""pl"")"),"Dzienniki dębowe.")</f>
        <v>Dzienniki dębowe.</v>
      </c>
      <c r="J57" s="25" t="str">
        <f ca="1">IFERROR(__xludf.DUMMYFUNCTION("GOOGLETRANSLATE(B57, ""en"", ""zh"")"),"橡木日志")</f>
        <v>橡木日志</v>
      </c>
      <c r="K57" s="25" t="str">
        <f ca="1">IFERROR(__xludf.DUMMYFUNCTION("GOOGLETRANSLATE(B57, ""en"", ""vi"")"),"Gỗ sồi")</f>
        <v>Gỗ sồi</v>
      </c>
      <c r="L57" s="26" t="str">
        <f ca="1">IFERROR(__xludf.DUMMYFUNCTION("GOOGLETRANSLATE(B57, ""en"", ""hr"")"),"Hrastovi")</f>
        <v>Hrastovi</v>
      </c>
      <c r="M57" s="28"/>
      <c r="N57" s="28"/>
      <c r="O57" s="28"/>
      <c r="P57" s="28"/>
      <c r="Q57" s="28"/>
      <c r="R57" s="28"/>
      <c r="S57" s="28"/>
      <c r="T57" s="28"/>
      <c r="U57" s="28"/>
      <c r="V57" s="28"/>
      <c r="W57" s="28"/>
      <c r="X57" s="28"/>
      <c r="Y57" s="28"/>
      <c r="Z57" s="28"/>
      <c r="AA57" s="28"/>
      <c r="AB57" s="28"/>
    </row>
    <row r="58" spans="1:28" ht="28" x14ac:dyDescent="0.15">
      <c r="A58" s="40" t="s">
        <v>499</v>
      </c>
      <c r="B58" s="22" t="s">
        <v>493</v>
      </c>
      <c r="C58" s="23" t="str">
        <f ca="1">IFERROR(__xludf.DUMMYFUNCTION("GOOGLETRANSLATE(B58, ""en"", ""fr"")"),"Un matériau d'artisanat de base.")</f>
        <v>Un matériau d'artisanat de base.</v>
      </c>
      <c r="D58" s="23" t="str">
        <f ca="1">IFERROR(__xludf.DUMMYFUNCTION("GOOGLETRANSLATE(B58, ""en"", ""es"")"),"Un material de elaboración básico.")</f>
        <v>Un material de elaboración básico.</v>
      </c>
      <c r="E58" s="23" t="str">
        <f ca="1">IFERROR(__xludf.DUMMYFUNCTION("GOOGLETRANSLATE(B58, ""en"", ""ru"")"),"Основной материал для крафта.")</f>
        <v>Основной материал для крафта.</v>
      </c>
      <c r="F58" s="23" t="str">
        <f ca="1">IFERROR(__xludf.DUMMYFUNCTION("GOOGLETRANSLATE(B58, ""en"", ""tr"")"),"Temel bir işçilik malzemesi.")</f>
        <v>Temel bir işçilik malzemesi.</v>
      </c>
      <c r="G58" s="23" t="str">
        <f ca="1">IFERROR(__xludf.DUMMYFUNCTION("GOOGLETRANSLATE(B58, ""en"", ""pt"")"),"Um material básico de criação.")</f>
        <v>Um material básico de criação.</v>
      </c>
      <c r="H58" s="24" t="str">
        <f ca="1">IFERROR(__xludf.DUMMYFUNCTION("GOOGLETRANSLATE(B58, ""en"", ""de"")"),"Ein grundlegendes Bastelmaterial.")</f>
        <v>Ein grundlegendes Bastelmaterial.</v>
      </c>
      <c r="I58" s="23" t="str">
        <f ca="1">IFERROR(__xludf.DUMMYFUNCTION("GOOGLETRANSLATE(B58, ""en"", ""pl"")"),"Podstawowy materiał rzemieślniczy.")</f>
        <v>Podstawowy materiał rzemieślniczy.</v>
      </c>
      <c r="J58" s="25" t="str">
        <f ca="1">IFERROR(__xludf.DUMMYFUNCTION("GOOGLETRANSLATE(B58, ""en"", ""zh"")"),"一种基本的制作材料。")</f>
        <v>一种基本的制作材料。</v>
      </c>
      <c r="K58" s="25" t="str">
        <f ca="1">IFERROR(__xludf.DUMMYFUNCTION("GOOGLETRANSLATE(B58, ""en"", ""vi"")"),"Một vật liệu chế tạo cơ bản.")</f>
        <v>Một vật liệu chế tạo cơ bản.</v>
      </c>
      <c r="L58" s="26" t="str">
        <f ca="1">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spans="1:28" ht="14" x14ac:dyDescent="0.15">
      <c r="A59" s="40" t="s">
        <v>500</v>
      </c>
      <c r="B59" s="22" t="s">
        <v>501</v>
      </c>
      <c r="C59" s="23" t="str">
        <f ca="1">IFERROR(__xludf.DUMMYFUNCTION("GOOGLETRANSLATE(B59, ""en"", ""fr"")"),"Branche sacrée")</f>
        <v>Branche sacrée</v>
      </c>
      <c r="D59" s="23" t="str">
        <f ca="1">IFERROR(__xludf.DUMMYFUNCTION("GOOGLETRANSLATE(B59, ""en"", ""es"")"),"Rama sagrada")</f>
        <v>Rama sagrada</v>
      </c>
      <c r="E59" s="23" t="str">
        <f ca="1">IFERROR(__xludf.DUMMYFUNCTION("GOOGLETRANSLATE(B59, ""en"", ""ru"")"),"Священная ветка")</f>
        <v>Священная ветка</v>
      </c>
      <c r="F59" s="23" t="str">
        <f ca="1">IFERROR(__xludf.DUMMYFUNCTION("GOOGLETRANSLATE(B59, ""en"", ""tr"")"),"Kutsal dal")</f>
        <v>Kutsal dal</v>
      </c>
      <c r="G59" s="23" t="str">
        <f ca="1">IFERROR(__xludf.DUMMYFUNCTION("GOOGLETRANSLATE(B59, ""en"", ""pt"")"),"Filial sagrada")</f>
        <v>Filial sagrada</v>
      </c>
      <c r="H59" s="24" t="str">
        <f ca="1">IFERROR(__xludf.DUMMYFUNCTION("GOOGLETRANSLATE(B59, ""en"", ""de"")"),"Heiliger Niederlassung")</f>
        <v>Heiliger Niederlassung</v>
      </c>
      <c r="I59" s="23" t="str">
        <f ca="1">IFERROR(__xludf.DUMMYFUNCTION("GOOGLETRANSLATE(B59, ""en"", ""pl"")"),"Święta gałąź")</f>
        <v>Święta gałąź</v>
      </c>
      <c r="J59" s="25" t="str">
        <f ca="1">IFERROR(__xludf.DUMMYFUNCTION("GOOGLETRANSLATE(B59, ""en"", ""zh"")"),"神圣的分支")</f>
        <v>神圣的分支</v>
      </c>
      <c r="K59" s="25" t="str">
        <f ca="1">IFERROR(__xludf.DUMMYFUNCTION("GOOGLETRANSLATE(B59, ""en"", ""vi"")"),"Chi nhánh thiêng liêng")</f>
        <v>Chi nhánh thiêng liêng</v>
      </c>
      <c r="L59" s="26" t="str">
        <f ca="1">IFERROR(__xludf.DUMMYFUNCTION("GOOGLETRANSLATE(B59, ""en"", ""hr"")"),"Sveta grana")</f>
        <v>Sveta grana</v>
      </c>
      <c r="M59" s="28"/>
      <c r="N59" s="28"/>
      <c r="O59" s="28"/>
      <c r="P59" s="28"/>
      <c r="Q59" s="28"/>
      <c r="R59" s="28"/>
      <c r="S59" s="28"/>
      <c r="T59" s="28"/>
      <c r="U59" s="28"/>
      <c r="V59" s="28"/>
      <c r="W59" s="28"/>
      <c r="X59" s="28"/>
      <c r="Y59" s="28"/>
      <c r="Z59" s="28"/>
      <c r="AA59" s="28"/>
      <c r="AB59" s="28"/>
    </row>
    <row r="60" spans="1:28" ht="70" x14ac:dyDescent="0.15">
      <c r="A60" s="40" t="s">
        <v>502</v>
      </c>
      <c r="B60" s="22" t="s">
        <v>503</v>
      </c>
      <c r="C60" s="23" t="str">
        <f ca="1">IFERROR(__xludf.DUMMYFUNCTION("GOOGLETRANSLATE(B60, ""en"", ""fr"")"),"Une fois une partie d'un saint arbre qui relie ce monde à beaucoup d'autres.")</f>
        <v>Une fois une partie d'un saint arbre qui relie ce monde à beaucoup d'autres.</v>
      </c>
      <c r="D60" s="23" t="str">
        <f ca="1">IFERROR(__xludf.DUMMYFUNCTION("GOOGLETRANSLATE(B60, ""en"", ""es"")"),"Una vez que parte de un árbol santo que conectó este mundo a muchos otros.")</f>
        <v>Una vez que parte de un árbol santo que conectó este mundo a muchos otros.</v>
      </c>
      <c r="E60" s="23" t="str">
        <f ca="1">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 ca="1">IFERROR(__xludf.DUMMYFUNCTION("GOOGLETRANSLATE(B60, ""en"", ""tr"")"),"Bir kez bu dünyayı birbirine bağlayan kutsal bir ağacın bir parçası.")</f>
        <v>Bir kez bu dünyayı birbirine bağlayan kutsal bir ağacın bir parçası.</v>
      </c>
      <c r="G60" s="23" t="str">
        <f ca="1">IFERROR(__xludf.DUMMYFUNCTION("GOOGLETRANSLATE(B60, ""en"", ""pt"")"),"Uma vez parte de uma árvore sagrada que conectou este mundo a muitos outros.")</f>
        <v>Uma vez parte de uma árvore sagrada que conectou este mundo a muitos outros.</v>
      </c>
      <c r="H60" s="24" t="str">
        <f ca="1">IFERROR(__xludf.DUMMYFUNCTION("GOOGLETRANSLATE(B60, ""en"", ""de"")"),"Einmal Teil eines heiligen Baumes, der diese Welt an viele andere verbindet.")</f>
        <v>Einmal Teil eines heiligen Baumes, der diese Welt an viele andere verbindet.</v>
      </c>
      <c r="I60" s="23" t="str">
        <f ca="1">IFERROR(__xludf.DUMMYFUNCTION("GOOGLETRANSLATE(B60, ""en"", ""pl"")"),"Kiedyś część świętego drzewa, która podłączyła ten świat do wielu innych.")</f>
        <v>Kiedyś część świętego drzewa, która podłączyła ten świat do wielu innych.</v>
      </c>
      <c r="J60" s="25" t="str">
        <f ca="1">IFERROR(__xludf.DUMMYFUNCTION("GOOGLETRANSLATE(B60, ""en"", ""zh"")"),"一旦将这个世界与许多人联系在一起的圣树的一部分。")</f>
        <v>一旦将这个世界与许多人联系在一起的圣树的一部分。</v>
      </c>
      <c r="K60" s="25" t="str">
        <f ca="1">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 ca="1">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spans="1:28" ht="14" x14ac:dyDescent="0.15">
      <c r="A61" s="40" t="s">
        <v>504</v>
      </c>
      <c r="B61" s="22" t="s">
        <v>505</v>
      </c>
      <c r="C61" s="23" t="str">
        <f ca="1">IFERROR(__xludf.DUMMYFUNCTION("GOOGLETRANSLATE(B61, ""en"", ""fr"")"),"Coton")</f>
        <v>Coton</v>
      </c>
      <c r="D61" s="23" t="str">
        <f ca="1">IFERROR(__xludf.DUMMYFUNCTION("GOOGLETRANSLATE(B61, ""en"", ""es"")"),"Algodón")</f>
        <v>Algodón</v>
      </c>
      <c r="E61" s="23" t="str">
        <f ca="1">IFERROR(__xludf.DUMMYFUNCTION("GOOGLETRANSLATE(B61, ""en"", ""ru"")"),"Хлопок")</f>
        <v>Хлопок</v>
      </c>
      <c r="F61" s="23" t="str">
        <f ca="1">IFERROR(__xludf.DUMMYFUNCTION("GOOGLETRANSLATE(B61, ""en"", ""tr"")"),"Pamuk")</f>
        <v>Pamuk</v>
      </c>
      <c r="G61" s="23" t="str">
        <f ca="1">IFERROR(__xludf.DUMMYFUNCTION("GOOGLETRANSLATE(B61, ""en"", ""pt"")"),"Algodão")</f>
        <v>Algodão</v>
      </c>
      <c r="H61" s="24" t="str">
        <f ca="1">IFERROR(__xludf.DUMMYFUNCTION("GOOGLETRANSLATE(B61, ""en"", ""de"")"),"Baumwolle")</f>
        <v>Baumwolle</v>
      </c>
      <c r="I61" s="23" t="str">
        <f ca="1">IFERROR(__xludf.DUMMYFUNCTION("GOOGLETRANSLATE(B61, ""en"", ""pl"")"),"Bawełna")</f>
        <v>Bawełna</v>
      </c>
      <c r="J61" s="25" t="str">
        <f ca="1">IFERROR(__xludf.DUMMYFUNCTION("GOOGLETRANSLATE(B61, ""en"", ""zh"")"),"棉布")</f>
        <v>棉布</v>
      </c>
      <c r="K61" s="25" t="str">
        <f ca="1">IFERROR(__xludf.DUMMYFUNCTION("GOOGLETRANSLATE(B61, ""en"", ""vi"")"),"Bông")</f>
        <v>Bông</v>
      </c>
      <c r="L61" s="26" t="str">
        <f ca="1">IFERROR(__xludf.DUMMYFUNCTION("GOOGLETRANSLATE(B61, ""en"", ""hr"")"),"Pamuk")</f>
        <v>Pamuk</v>
      </c>
      <c r="M61" s="28"/>
      <c r="N61" s="28"/>
      <c r="O61" s="28"/>
      <c r="P61" s="28"/>
      <c r="Q61" s="28"/>
      <c r="R61" s="28"/>
      <c r="S61" s="28"/>
      <c r="T61" s="28"/>
      <c r="U61" s="28"/>
      <c r="V61" s="28"/>
      <c r="W61" s="28"/>
      <c r="X61" s="28"/>
      <c r="Y61" s="28"/>
      <c r="Z61" s="28"/>
      <c r="AA61" s="28"/>
      <c r="AB61" s="28"/>
    </row>
    <row r="62" spans="1:28" ht="42" x14ac:dyDescent="0.15">
      <c r="A62" s="40" t="s">
        <v>506</v>
      </c>
      <c r="B62" s="22" t="s">
        <v>507</v>
      </c>
      <c r="C62" s="23" t="str">
        <f ca="1">IFERROR(__xludf.DUMMYFUNCTION("GOOGLETRANSLATE(B62, ""en"", ""fr"")"),"Peut être fabriqué dans divers textiles.")</f>
        <v>Peut être fabriqué dans divers textiles.</v>
      </c>
      <c r="D62" s="23" t="str">
        <f ca="1">IFERROR(__xludf.DUMMYFUNCTION("GOOGLETRANSLATE(B62, ""en"", ""es"")"),"Se puede crear en varios textiles.")</f>
        <v>Se puede crear en varios textiles.</v>
      </c>
      <c r="E62" s="23" t="str">
        <f ca="1">IFERROR(__xludf.DUMMYFUNCTION("GOOGLETRANSLATE(B62, ""en"", ""ru"")"),"Может быть создан в различные текстильные.")</f>
        <v>Может быть создан в различные текстильные.</v>
      </c>
      <c r="F62" s="23" t="str">
        <f ca="1">IFERROR(__xludf.DUMMYFUNCTION("GOOGLETRANSLATE(B62, ""en"", ""tr"")"),"Çeşitli tekstillere sokulabilir.")</f>
        <v>Çeşitli tekstillere sokulabilir.</v>
      </c>
      <c r="G62" s="23" t="str">
        <f ca="1">IFERROR(__xludf.DUMMYFUNCTION("GOOGLETRANSLATE(B62, ""en"", ""pt"")"),"Pode ser criado em vários têxteis.")</f>
        <v>Pode ser criado em vários têxteis.</v>
      </c>
      <c r="H62" s="24" t="str">
        <f ca="1">IFERROR(__xludf.DUMMYFUNCTION("GOOGLETRANSLATE(B62, ""en"", ""de"")"),"Kann in verschiedene Textilien gefertigt werden.")</f>
        <v>Kann in verschiedene Textilien gefertigt werden.</v>
      </c>
      <c r="I62" s="23" t="str">
        <f ca="1">IFERROR(__xludf.DUMMYFUNCTION("GOOGLETRANSLATE(B62, ""en"", ""pl"")"),"Może być wykonany do różnych tekstyliów.")</f>
        <v>Może być wykonany do różnych tekstyliów.</v>
      </c>
      <c r="J62" s="25" t="str">
        <f ca="1">IFERROR(__xludf.DUMMYFUNCTION("GOOGLETRANSLATE(B62, ""en"", ""zh"")"),"可以制作成各种纺织品。")</f>
        <v>可以制作成各种纺织品。</v>
      </c>
      <c r="K62" s="25" t="str">
        <f ca="1">IFERROR(__xludf.DUMMYFUNCTION("GOOGLETRANSLATE(B62, ""en"", ""vi"")"),"Có thể được chế tạo thành nhiều hàng dệt may khác nhau.")</f>
        <v>Có thể được chế tạo thành nhiều hàng dệt may khác nhau.</v>
      </c>
      <c r="L62" s="26" t="str">
        <f ca="1">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spans="1:28" ht="14" x14ac:dyDescent="0.15">
      <c r="A63" s="40" t="s">
        <v>508</v>
      </c>
      <c r="B63" s="22" t="s">
        <v>509</v>
      </c>
      <c r="C63" s="23" t="str">
        <f ca="1">IFERROR(__xludf.DUMMYFUNCTION("GOOGLETRANSLATE(B63, ""en"", ""fr"")"),"Chaîne de caractères")</f>
        <v>Chaîne de caractères</v>
      </c>
      <c r="D63" s="23" t="str">
        <f ca="1">IFERROR(__xludf.DUMMYFUNCTION("GOOGLETRANSLATE(B63, ""en"", ""es"")"),"Cuerda")</f>
        <v>Cuerda</v>
      </c>
      <c r="E63" s="23" t="str">
        <f ca="1">IFERROR(__xludf.DUMMYFUNCTION("GOOGLETRANSLATE(B63, ""en"", ""ru"")"),"Нить")</f>
        <v>Нить</v>
      </c>
      <c r="F63" s="23" t="str">
        <f ca="1">IFERROR(__xludf.DUMMYFUNCTION("GOOGLETRANSLATE(B63, ""en"", ""tr"")"),"Sicim")</f>
        <v>Sicim</v>
      </c>
      <c r="G63" s="23" t="str">
        <f ca="1">IFERROR(__xludf.DUMMYFUNCTION("GOOGLETRANSLATE(B63, ""en"", ""pt"")"),"Fragmento")</f>
        <v>Fragmento</v>
      </c>
      <c r="H63" s="24" t="str">
        <f ca="1">IFERROR(__xludf.DUMMYFUNCTION("GOOGLETRANSLATE(B63, ""en"", ""de"")"),"String")</f>
        <v>String</v>
      </c>
      <c r="I63" s="23" t="str">
        <f ca="1">IFERROR(__xludf.DUMMYFUNCTION("GOOGLETRANSLATE(B63, ""en"", ""pl"")"),"Strunowy")</f>
        <v>Strunowy</v>
      </c>
      <c r="J63" s="25" t="str">
        <f ca="1">IFERROR(__xludf.DUMMYFUNCTION("GOOGLETRANSLATE(B63, ""en"", ""zh"")"),"细绳")</f>
        <v>细绳</v>
      </c>
      <c r="K63" s="25" t="str">
        <f ca="1">IFERROR(__xludf.DUMMYFUNCTION("GOOGLETRANSLATE(B63, ""en"", ""vi"")"),"Dây")</f>
        <v>Dây</v>
      </c>
      <c r="L63" s="26" t="str">
        <f ca="1">IFERROR(__xludf.DUMMYFUNCTION("GOOGLETRANSLATE(B63, ""en"", ""hr"")"),"Niz")</f>
        <v>Niz</v>
      </c>
      <c r="M63" s="28"/>
      <c r="N63" s="28"/>
      <c r="O63" s="28"/>
      <c r="P63" s="28"/>
      <c r="Q63" s="28"/>
      <c r="R63" s="28"/>
      <c r="S63" s="28"/>
      <c r="T63" s="28"/>
      <c r="U63" s="28"/>
      <c r="V63" s="28"/>
      <c r="W63" s="28"/>
      <c r="X63" s="28"/>
      <c r="Y63" s="28"/>
      <c r="Z63" s="28"/>
      <c r="AA63" s="28"/>
      <c r="AB63" s="28"/>
    </row>
    <row r="64" spans="1:28" ht="42" x14ac:dyDescent="0.15">
      <c r="A64" s="40" t="s">
        <v>510</v>
      </c>
      <c r="B64" s="22" t="s">
        <v>511</v>
      </c>
      <c r="C64" s="23" t="str">
        <f ca="1">IFERROR(__xludf.DUMMYFUNCTION("GOOGLETRANSLATE(B64, ""en"", ""fr"")"),"Utilisé pour fabriquer des arcs et des pièges.")</f>
        <v>Utilisé pour fabriquer des arcs et des pièges.</v>
      </c>
      <c r="D64" s="23" t="str">
        <f ca="1">IFERROR(__xludf.DUMMYFUNCTION("GOOGLETRANSLATE(B64, ""en"", ""es"")"),"Se utiliza para elaborar arcos y trampas.")</f>
        <v>Se utiliza para elaborar arcos y trampas.</v>
      </c>
      <c r="E64" s="23" t="str">
        <f ca="1">IFERROR(__xludf.DUMMYFUNCTION("GOOGLETRANSLATE(B64, ""en"", ""ru"")"),"Используется для ремесла бантов и ловушек.")</f>
        <v>Используется для ремесла бантов и ловушек.</v>
      </c>
      <c r="F64" s="23" t="str">
        <f ca="1">IFERROR(__xludf.DUMMYFUNCTION("GOOGLETRANSLATE(B64, ""en"", ""tr"")"),"Yay ve tuzakları zanaat etmek için kullanılır.")</f>
        <v>Yay ve tuzakları zanaat etmek için kullanılır.</v>
      </c>
      <c r="G64" s="23" t="str">
        <f ca="1">IFERROR(__xludf.DUMMYFUNCTION("GOOGLETRANSLATE(B64, ""en"", ""pt"")"),"Usado para criar arcos e armadilhas.")</f>
        <v>Usado para criar arcos e armadilhas.</v>
      </c>
      <c r="H64" s="24" t="str">
        <f ca="1">IFERROR(__xludf.DUMMYFUNCTION("GOOGLETRANSLATE(B64, ""en"", ""de"")"),"Verwendet, um Bögen und Fallen herzustellen.")</f>
        <v>Verwendet, um Bögen und Fallen herzustellen.</v>
      </c>
      <c r="I64" s="23" t="str">
        <f ca="1">IFERROR(__xludf.DUMMYFUNCTION("GOOGLETRANSLATE(B64, ""en"", ""pl"")"),"Używane do rzemiosła łuków i pułapek.")</f>
        <v>Używane do rzemiosła łuków i pułapek.</v>
      </c>
      <c r="J64" s="25" t="str">
        <f ca="1">IFERROR(__xludf.DUMMYFUNCTION("GOOGLETRANSLATE(B64, ""en"", ""zh"")"),"用于制作弓箭和陷阱。")</f>
        <v>用于制作弓箭和陷阱。</v>
      </c>
      <c r="K64" s="25" t="str">
        <f ca="1">IFERROR(__xludf.DUMMYFUNCTION("GOOGLETRANSLATE(B64, ""en"", ""vi"")"),"Được sử dụng để thủ công cung và bẫy.")</f>
        <v>Được sử dụng để thủ công cung và bẫy.</v>
      </c>
      <c r="L64" s="26" t="str">
        <f ca="1">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spans="1:28" ht="14" x14ac:dyDescent="0.15">
      <c r="A65" s="40" t="s">
        <v>512</v>
      </c>
      <c r="B65" s="22" t="s">
        <v>513</v>
      </c>
      <c r="C65" s="23" t="str">
        <f ca="1">IFERROR(__xludf.DUMMYFUNCTION("GOOGLETRANSLATE(B65, ""en"", ""fr"")"),"en tissu")</f>
        <v>en tissu</v>
      </c>
      <c r="D65" s="23" t="str">
        <f ca="1">IFERROR(__xludf.DUMMYFUNCTION("GOOGLETRANSLATE(B65, ""en"", ""es"")"),"Tela")</f>
        <v>Tela</v>
      </c>
      <c r="E65" s="23" t="str">
        <f ca="1">IFERROR(__xludf.DUMMYFUNCTION("GOOGLETRANSLATE(B65, ""en"", ""ru"")"),"Ткань")</f>
        <v>Ткань</v>
      </c>
      <c r="F65" s="23" t="str">
        <f ca="1">IFERROR(__xludf.DUMMYFUNCTION("GOOGLETRANSLATE(B65, ""en"", ""tr"")"),"Kumaş")</f>
        <v>Kumaş</v>
      </c>
      <c r="G65" s="23" t="str">
        <f ca="1">IFERROR(__xludf.DUMMYFUNCTION("GOOGLETRANSLATE(B65, ""en"", ""pt"")"),"Tecido")</f>
        <v>Tecido</v>
      </c>
      <c r="H65" s="24" t="str">
        <f ca="1">IFERROR(__xludf.DUMMYFUNCTION("GOOGLETRANSLATE(B65, ""en"", ""de"")"),"Stoff")</f>
        <v>Stoff</v>
      </c>
      <c r="I65" s="23" t="str">
        <f ca="1">IFERROR(__xludf.DUMMYFUNCTION("GOOGLETRANSLATE(B65, ""en"", ""pl"")"),"Tkanina")</f>
        <v>Tkanina</v>
      </c>
      <c r="J65" s="25" t="str">
        <f ca="1">IFERROR(__xludf.DUMMYFUNCTION("GOOGLETRANSLATE(B65, ""en"", ""zh"")"),"织物")</f>
        <v>织物</v>
      </c>
      <c r="K65" s="25" t="str">
        <f ca="1">IFERROR(__xludf.DUMMYFUNCTION("GOOGLETRANSLATE(B65, ""en"", ""vi"")"),"Sợi vải")</f>
        <v>Sợi vải</v>
      </c>
      <c r="L65" s="26" t="str">
        <f ca="1">IFERROR(__xludf.DUMMYFUNCTION("GOOGLETRANSLATE(B65, ""en"", ""hr"")"),"Tkanina")</f>
        <v>Tkanina</v>
      </c>
      <c r="M65" s="28"/>
      <c r="N65" s="28"/>
      <c r="O65" s="28"/>
      <c r="P65" s="28"/>
      <c r="Q65" s="28"/>
      <c r="R65" s="28"/>
      <c r="S65" s="28"/>
      <c r="T65" s="28"/>
      <c r="U65" s="28"/>
      <c r="V65" s="28"/>
      <c r="W65" s="28"/>
      <c r="X65" s="28"/>
      <c r="Y65" s="28"/>
      <c r="Z65" s="28"/>
      <c r="AA65" s="28"/>
      <c r="AB65" s="28"/>
    </row>
    <row r="66" spans="1:28" ht="28" x14ac:dyDescent="0.15">
      <c r="A66" s="40" t="s">
        <v>514</v>
      </c>
      <c r="B66" s="22" t="s">
        <v>515</v>
      </c>
      <c r="C66" s="23" t="str">
        <f ca="1">IFERROR(__xludf.DUMMYFUNCTION("GOOGLETRANSLATE(B66, ""en"", ""fr"")"),"Peut être fabriqué dans des vêtements.")</f>
        <v>Peut être fabriqué dans des vêtements.</v>
      </c>
      <c r="D66" s="23" t="str">
        <f ca="1">IFERROR(__xludf.DUMMYFUNCTION("GOOGLETRANSLATE(B66, ""en"", ""es"")"),"Puede ser elaborado en ropa.")</f>
        <v>Puede ser elaborado en ropa.</v>
      </c>
      <c r="E66" s="23" t="str">
        <f ca="1">IFERROR(__xludf.DUMMYFUNCTION("GOOGLETRANSLATE(B66, ""en"", ""ru"")"),"Может быть создан в одежду.")</f>
        <v>Может быть создан в одежду.</v>
      </c>
      <c r="F66" s="23" t="str">
        <f ca="1">IFERROR(__xludf.DUMMYFUNCTION("GOOGLETRANSLATE(B66, ""en"", ""tr"")"),"Kıyafetlere sokulabilir.")</f>
        <v>Kıyafetlere sokulabilir.</v>
      </c>
      <c r="G66" s="23" t="str">
        <f ca="1">IFERROR(__xludf.DUMMYFUNCTION("GOOGLETRANSLATE(B66, ""en"", ""pt"")"),"Pode ser criado em roupas.")</f>
        <v>Pode ser criado em roupas.</v>
      </c>
      <c r="H66" s="24" t="str">
        <f ca="1">IFERROR(__xludf.DUMMYFUNCTION("GOOGLETRANSLATE(B66, ""en"", ""de"")"),"Kann in Kleidung gefertigt werden.")</f>
        <v>Kann in Kleidung gefertigt werden.</v>
      </c>
      <c r="I66" s="23" t="str">
        <f ca="1">IFERROR(__xludf.DUMMYFUNCTION("GOOGLETRANSLATE(B66, ""en"", ""pl"")"),"Może być wykonany do odzieży.")</f>
        <v>Może być wykonany do odzieży.</v>
      </c>
      <c r="J66" s="25" t="str">
        <f ca="1">IFERROR(__xludf.DUMMYFUNCTION("GOOGLETRANSLATE(B66, ""en"", ""zh"")"),"可以精制成衣服。")</f>
        <v>可以精制成衣服。</v>
      </c>
      <c r="K66" s="25" t="str">
        <f ca="1">IFERROR(__xludf.DUMMYFUNCTION("GOOGLETRANSLATE(B66, ""en"", ""vi"")"),"Có thể được chế tạo thành quần áo.")</f>
        <v>Có thể được chế tạo thành quần áo.</v>
      </c>
      <c r="L66" s="26" t="str">
        <f ca="1">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spans="1:28" ht="14" x14ac:dyDescent="0.15">
      <c r="A67" s="40" t="s">
        <v>516</v>
      </c>
      <c r="B67" s="22" t="s">
        <v>517</v>
      </c>
      <c r="C67" s="23" t="str">
        <f ca="1">IFERROR(__xludf.DUMMYFUNCTION("GOOGLETRANSLATE(B67, ""en"", ""fr"")"),"cheveux d'ange")</f>
        <v>cheveux d'ange</v>
      </c>
      <c r="D67" s="23" t="str">
        <f ca="1">IFERROR(__xludf.DUMMYFUNCTION("GOOGLETRANSLATE(B67, ""en"", ""es"")"),"cabello de ángel")</f>
        <v>cabello de ángel</v>
      </c>
      <c r="E67" s="23" t="str">
        <f ca="1">IFERROR(__xludf.DUMMYFUNCTION("GOOGLETRANSLATE(B67, ""en"", ""ru"")"),"Волосы ангела")</f>
        <v>Волосы ангела</v>
      </c>
      <c r="F67" s="23" t="str">
        <f ca="1">IFERROR(__xludf.DUMMYFUNCTION("GOOGLETRANSLATE(B67, ""en"", ""tr"")"),"Melek saçı")</f>
        <v>Melek saçı</v>
      </c>
      <c r="G67" s="23" t="str">
        <f ca="1">IFERROR(__xludf.DUMMYFUNCTION("GOOGLETRANSLATE(B67, ""en"", ""pt"")"),"cabelo de anjo")</f>
        <v>cabelo de anjo</v>
      </c>
      <c r="H67" s="24" t="str">
        <f ca="1">IFERROR(__xludf.DUMMYFUNCTION("GOOGLETRANSLATE(B67, ""en"", ""de"")"),"Angelhaar")</f>
        <v>Angelhaar</v>
      </c>
      <c r="I67" s="23" t="str">
        <f ca="1">IFERROR(__xludf.DUMMYFUNCTION("GOOGLETRANSLATE(B67, ""en"", ""pl"")"),"anielskie włosy")</f>
        <v>anielskie włosy</v>
      </c>
      <c r="J67" s="25" t="str">
        <f ca="1">IFERROR(__xludf.DUMMYFUNCTION("GOOGLETRANSLATE(B67, ""en"", ""zh"")"),"天使头发")</f>
        <v>天使头发</v>
      </c>
      <c r="K67" s="25" t="str">
        <f ca="1">IFERROR(__xludf.DUMMYFUNCTION("GOOGLETRANSLATE(B67, ""en"", ""vi"")"),"mái tóc thiên thần")</f>
        <v>mái tóc thiên thần</v>
      </c>
      <c r="L67" s="26" t="str">
        <f ca="1">IFERROR(__xludf.DUMMYFUNCTION("GOOGLETRANSLATE(B67, ""en"", ""hr"")"),"Vermicelli")</f>
        <v>Vermicelli</v>
      </c>
      <c r="M67" s="28"/>
      <c r="N67" s="28"/>
      <c r="O67" s="28"/>
      <c r="P67" s="28"/>
      <c r="Q67" s="28"/>
      <c r="R67" s="28"/>
      <c r="S67" s="28"/>
      <c r="T67" s="28"/>
      <c r="U67" s="28"/>
      <c r="V67" s="28"/>
      <c r="W67" s="28"/>
      <c r="X67" s="28"/>
      <c r="Y67" s="28"/>
      <c r="Z67" s="28"/>
      <c r="AA67" s="28"/>
      <c r="AB67" s="28"/>
    </row>
    <row r="68" spans="1:28" ht="56" x14ac:dyDescent="0.15">
      <c r="A68" s="40" t="s">
        <v>518</v>
      </c>
      <c r="B68" s="22" t="s">
        <v>519</v>
      </c>
      <c r="C68" s="23" t="str">
        <f ca="1">IFERROR(__xludf.DUMMYFUNCTION("GOOGLETRANSLATE(B68, ""en"", ""fr"")"),"Un matériau doux mais fort qui peut être tissé en textiles de luxe.")</f>
        <v>Un matériau doux mais fort qui peut être tissé en textiles de luxe.</v>
      </c>
      <c r="D68" s="23" t="str">
        <f ca="1">IFERROR(__xludf.DUMMYFUNCTION("GOOGLETRANSLATE(B68, ""en"", ""es"")"),"Un material suave pero fuerte que se puede tejer en textiles de lujo.")</f>
        <v>Un material suave pero fuerte que se puede tejer en textiles de lujo.</v>
      </c>
      <c r="E68" s="23" t="str">
        <f ca="1">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 ca="1">IFERROR(__xludf.DUMMYFUNCTION("GOOGLETRANSLATE(B68, ""en"", ""tr"")"),"Lüks tekstillere dokunabilecek yumuşak ancak güçlü bir malzeme.")</f>
        <v>Lüks tekstillere dokunabilecek yumuşak ancak güçlü bir malzeme.</v>
      </c>
      <c r="G68" s="23" t="str">
        <f ca="1">IFERROR(__xludf.DUMMYFUNCTION("GOOGLETRANSLATE(B68, ""en"", ""pt"")"),"Um material macio e forte que pode ser tecido em têxteis de luxo.")</f>
        <v>Um material macio e forte que pode ser tecido em têxteis de luxo.</v>
      </c>
      <c r="H68" s="24" t="str">
        <f ca="1">IFERROR(__xludf.DUMMYFUNCTION("GOOGLETRANSLATE(B68, ""en"", ""de"")"),"Ein weiches, aber starkes Material, das in luxuriöse Textilien gewebt werden kann.")</f>
        <v>Ein weiches, aber starkes Material, das in luxuriöse Textilien gewebt werden kann.</v>
      </c>
      <c r="I68" s="23" t="str">
        <f ca="1">IFERROR(__xludf.DUMMYFUNCTION("GOOGLETRANSLATE(B68, ""en"", ""pl"")"),"Miękki, ale silny materiał, który może być tkany w luksusowych tkaninach.")</f>
        <v>Miękki, ale silny materiał, który może być tkany w luksusowych tkaninach.</v>
      </c>
      <c r="J68" s="25" t="str">
        <f ca="1">IFERROR(__xludf.DUMMYFUNCTION("GOOGLETRANSLATE(B68, ""en"", ""zh"")"),"一种柔软而坚固的材料，可以编织成豪华纺织品。")</f>
        <v>一种柔软而坚固的材料，可以编织成豪华纺织品。</v>
      </c>
      <c r="K68" s="25" t="str">
        <f ca="1">IFERROR(__xludf.DUMMYFUNCTION("GOOGLETRANSLATE(B68, ""en"", ""vi"")"),"Một vật liệu mềm nhưng mạnh có thể được dệt thành hàng dệt may sang trọng.")</f>
        <v>Một vật liệu mềm nhưng mạnh có thể được dệt thành hàng dệt may sang trọng.</v>
      </c>
      <c r="L68" s="26" t="str">
        <f ca="1">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spans="1:28" ht="14" x14ac:dyDescent="0.15">
      <c r="A69" s="40" t="s">
        <v>520</v>
      </c>
      <c r="B69" s="22" t="s">
        <v>521</v>
      </c>
      <c r="C69" s="23" t="str">
        <f ca="1">IFERROR(__xludf.DUMMYFUNCTION("GOOGLETRANSLATE(B69, ""en"", ""fr"")"),"Plumes")</f>
        <v>Plumes</v>
      </c>
      <c r="D69" s="23" t="str">
        <f ca="1">IFERROR(__xludf.DUMMYFUNCTION("GOOGLETRANSLATE(B69, ""en"", ""es"")"),"Plumas")</f>
        <v>Plumas</v>
      </c>
      <c r="E69" s="23" t="str">
        <f ca="1">IFERROR(__xludf.DUMMYFUNCTION("GOOGLETRANSLATE(B69, ""en"", ""ru"")"),"Перья")</f>
        <v>Перья</v>
      </c>
      <c r="F69" s="23" t="str">
        <f ca="1">IFERROR(__xludf.DUMMYFUNCTION("GOOGLETRANSLATE(B69, ""en"", ""tr"")"),"Tüyler")</f>
        <v>Tüyler</v>
      </c>
      <c r="G69" s="23" t="str">
        <f ca="1">IFERROR(__xludf.DUMMYFUNCTION("GOOGLETRANSLATE(B69, ""en"", ""pt"")"),"Penas")</f>
        <v>Penas</v>
      </c>
      <c r="H69" s="24" t="str">
        <f ca="1">IFERROR(__xludf.DUMMYFUNCTION("GOOGLETRANSLATE(B69, ""en"", ""de"")"),"Gefieder")</f>
        <v>Gefieder</v>
      </c>
      <c r="I69" s="23" t="str">
        <f ca="1">IFERROR(__xludf.DUMMYFUNCTION("GOOGLETRANSLATE(B69, ""en"", ""pl"")"),"Pióra")</f>
        <v>Pióra</v>
      </c>
      <c r="J69" s="25" t="str">
        <f ca="1">IFERROR(__xludf.DUMMYFUNCTION("GOOGLETRANSLATE(B69, ""en"", ""zh"")"),"羽毛")</f>
        <v>羽毛</v>
      </c>
      <c r="K69" s="25" t="str">
        <f ca="1">IFERROR(__xludf.DUMMYFUNCTION("GOOGLETRANSLATE(B69, ""en"", ""vi"")"),"Lông vũ")</f>
        <v>Lông vũ</v>
      </c>
      <c r="L69" s="26" t="str">
        <f ca="1">IFERROR(__xludf.DUMMYFUNCTION("GOOGLETRANSLATE(B69, ""en"", ""hr"")"),"Perje")</f>
        <v>Perje</v>
      </c>
      <c r="M69" s="28"/>
      <c r="N69" s="28"/>
      <c r="O69" s="28"/>
      <c r="P69" s="28"/>
      <c r="Q69" s="28"/>
      <c r="R69" s="28"/>
      <c r="S69" s="28"/>
      <c r="T69" s="28"/>
      <c r="U69" s="28"/>
      <c r="V69" s="28"/>
      <c r="W69" s="28"/>
      <c r="X69" s="28"/>
      <c r="Y69" s="28"/>
      <c r="Z69" s="28"/>
      <c r="AA69" s="28"/>
      <c r="AB69" s="28"/>
    </row>
    <row r="70" spans="1:28" ht="28" x14ac:dyDescent="0.15">
      <c r="A70" s="40" t="s">
        <v>522</v>
      </c>
      <c r="B70" s="22" t="s">
        <v>523</v>
      </c>
      <c r="C70" s="23" t="str">
        <f ca="1">IFERROR(__xludf.DUMMYFUNCTION("GOOGLETRANSLATE(B70, ""en"", ""fr"")"),"Peut être fabriqué dans des flèches.")</f>
        <v>Peut être fabriqué dans des flèches.</v>
      </c>
      <c r="D70" s="23" t="str">
        <f ca="1">IFERROR(__xludf.DUMMYFUNCTION("GOOGLETRANSLATE(B70, ""en"", ""es"")"),"Se puede crear en flechas.")</f>
        <v>Se puede crear en flechas.</v>
      </c>
      <c r="E70" s="23" t="str">
        <f ca="1">IFERROR(__xludf.DUMMYFUNCTION("GOOGLETRANSLATE(B70, ""en"", ""ru"")"),"Может быть создан в стрелки.")</f>
        <v>Может быть создан в стрелки.</v>
      </c>
      <c r="F70" s="23" t="str">
        <f ca="1">IFERROR(__xludf.DUMMYFUNCTION("GOOGLETRANSLATE(B70, ""en"", ""tr"")"),"Oklara sokulabilir.")</f>
        <v>Oklara sokulabilir.</v>
      </c>
      <c r="G70" s="23" t="str">
        <f ca="1">IFERROR(__xludf.DUMMYFUNCTION("GOOGLETRANSLATE(B70, ""en"", ""pt"")"),"Pode ser trabalhado em flechas.")</f>
        <v>Pode ser trabalhado em flechas.</v>
      </c>
      <c r="H70" s="24" t="str">
        <f ca="1">IFERROR(__xludf.DUMMYFUNCTION("GOOGLETRANSLATE(B70, ""en"", ""de"")"),"Kann in Pfeile gefertigt werden.")</f>
        <v>Kann in Pfeile gefertigt werden.</v>
      </c>
      <c r="I70" s="23" t="str">
        <f ca="1">IFERROR(__xludf.DUMMYFUNCTION("GOOGLETRANSLATE(B70, ""en"", ""pl"")"),"Może być wykonany na strzałki.")</f>
        <v>Może być wykonany na strzałki.</v>
      </c>
      <c r="J70" s="25" t="str">
        <f ca="1">IFERROR(__xludf.DUMMYFUNCTION("GOOGLETRANSLATE(B70, ""en"", ""zh"")"),"可以制作到箭头中。")</f>
        <v>可以制作到箭头中。</v>
      </c>
      <c r="K70" s="25" t="str">
        <f ca="1">IFERROR(__xludf.DUMMYFUNCTION("GOOGLETRANSLATE(B70, ""en"", ""vi"")"),"Có thể được chế tạo thành mũi tên.")</f>
        <v>Có thể được chế tạo thành mũi tên.</v>
      </c>
      <c r="L70" s="26" t="str">
        <f ca="1">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spans="1:28" ht="14" x14ac:dyDescent="0.15">
      <c r="A71" s="41" t="s">
        <v>524</v>
      </c>
      <c r="B71" s="22" t="s">
        <v>525</v>
      </c>
      <c r="C71" s="23" t="str">
        <f ca="1">IFERROR(__xludf.DUMMYFUNCTION("GOOGLETRANSLATE(B71, ""en"", ""fr"")"),"Une casquette rouge")</f>
        <v>Une casquette rouge</v>
      </c>
      <c r="D71" s="23" t="str">
        <f ca="1">IFERROR(__xludf.DUMMYFUNCTION("GOOGLETRANSLATE(B71, ""en"", ""es"")"),"Gorra roja")</f>
        <v>Gorra roja</v>
      </c>
      <c r="E71" s="23" t="str">
        <f ca="1">IFERROR(__xludf.DUMMYFUNCTION("GOOGLETRANSLATE(B71, ""en"", ""ru"")"),"Красная Шапка")</f>
        <v>Красная Шапка</v>
      </c>
      <c r="F71" s="23" t="str">
        <f ca="1">IFERROR(__xludf.DUMMYFUNCTION("GOOGLETRANSLATE(B71, ""en"", ""tr"")"),"Kırmızı şapka")</f>
        <v>Kırmızı şapka</v>
      </c>
      <c r="G71" s="23" t="str">
        <f ca="1">IFERROR(__xludf.DUMMYFUNCTION("GOOGLETRANSLATE(B71, ""en"", ""pt"")"),"Boné vermelho")</f>
        <v>Boné vermelho</v>
      </c>
      <c r="H71" s="24" t="str">
        <f ca="1">IFERROR(__xludf.DUMMYFUNCTION("GOOGLETRANSLATE(B71, ""en"", ""de"")"),"Rote Mütze")</f>
        <v>Rote Mütze</v>
      </c>
      <c r="I71" s="23" t="str">
        <f ca="1">IFERROR(__xludf.DUMMYFUNCTION("GOOGLETRANSLATE(B71, ""en"", ""pl"")"),"Czerwona czapka")</f>
        <v>Czerwona czapka</v>
      </c>
      <c r="J71" s="25" t="str">
        <f ca="1">IFERROR(__xludf.DUMMYFUNCTION("GOOGLETRANSLATE(B71, ""en"", ""zh"")"),"红帽")</f>
        <v>红帽</v>
      </c>
      <c r="K71" s="25" t="str">
        <f ca="1">IFERROR(__xludf.DUMMYFUNCTION("GOOGLETRANSLATE(B71, ""en"", ""vi"")"),"Nắp màu đỏ")</f>
        <v>Nắp màu đỏ</v>
      </c>
      <c r="L71" s="26" t="str">
        <f ca="1">IFERROR(__xludf.DUMMYFUNCTION("GOOGLETRANSLATE(B71, ""en"", ""hr"")"),"Crvena kapa")</f>
        <v>Crvena kapa</v>
      </c>
      <c r="M71" s="28"/>
      <c r="N71" s="28"/>
      <c r="O71" s="28"/>
      <c r="P71" s="28"/>
      <c r="Q71" s="28"/>
      <c r="R71" s="28"/>
      <c r="S71" s="28"/>
      <c r="T71" s="28"/>
      <c r="U71" s="28"/>
      <c r="V71" s="28"/>
      <c r="W71" s="28"/>
      <c r="X71" s="28"/>
      <c r="Y71" s="28"/>
      <c r="Z71" s="28"/>
      <c r="AA71" s="28"/>
      <c r="AB71" s="28"/>
    </row>
    <row r="72" spans="1:28" ht="70" x14ac:dyDescent="0.15">
      <c r="A72" s="41" t="s">
        <v>526</v>
      </c>
      <c r="B72" s="22" t="s">
        <v>527</v>
      </c>
      <c r="C72" s="23" t="str">
        <f ca="1">IFERROR(__xludf.DUMMYFUNCTION("GOOGLETRANSLATE(B72, ""en"", ""fr"")"),"Peut être mangé ou fabriqué dans une potion pour un effet plus fort.")</f>
        <v>Peut être mangé ou fabriqué dans une potion pour un effet plus fort.</v>
      </c>
      <c r="D72" s="23" t="str">
        <f ca="1">IFERROR(__xludf.DUMMYFUNCTION("GOOGLETRANSLATE(B72, ""en"", ""es"")"),"Se puede comer, o diseñado en una poción para un efecto más fuerte.")</f>
        <v>Se puede comer, o diseñado en una poción para un efecto más fuerte.</v>
      </c>
      <c r="E72" s="23" t="str">
        <f ca="1">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 ca="1">IFERROR(__xludf.DUMMYFUNCTION("GOOGLETRANSLATE(B72, ""en"", ""tr"")"),"Yenilebilir veya daha güçlü bir etki için bir iksir haline getirilebilir.")</f>
        <v>Yenilebilir veya daha güçlü bir etki için bir iksir haline getirilebilir.</v>
      </c>
      <c r="G72" s="23" t="str">
        <f ca="1">IFERROR(__xludf.DUMMYFUNCTION("GOOGLETRANSLATE(B72, ""en"", ""pt"")"),"Pode ser comido, ou trabalhado em uma poção por um efeito mais forte.")</f>
        <v>Pode ser comido, ou trabalhado em uma poção por um efeito mais forte.</v>
      </c>
      <c r="H72" s="24" t="str">
        <f ca="1">IFERROR(__xludf.DUMMYFUNCTION("GOOGLETRANSLATE(B72, ""en"", ""de"")"),"Kann gegessen oder in einen Trank für einen stärkeren Effekt gefertigt werden.")</f>
        <v>Kann gegessen oder in einen Trank für einen stärkeren Effekt gefertigt werden.</v>
      </c>
      <c r="I72" s="23" t="str">
        <f ca="1">IFERROR(__xludf.DUMMYFUNCTION("GOOGLETRANSLATE(B72, ""en"", ""pl"")"),"Może być zjedzony lub wykonany w eliksie dla silniejszego efektu.")</f>
        <v>Może być zjedzony lub wykonany w eliksie dla silniejszego efektu.</v>
      </c>
      <c r="J72" s="25" t="str">
        <f ca="1">IFERROR(__xludf.DUMMYFUNCTION("GOOGLETRANSLATE(B72, ""en"", ""zh"")"),"可以被吃掉，或制作成一个效果的药水。")</f>
        <v>可以被吃掉，或制作成一个效果的药水。</v>
      </c>
      <c r="K72" s="25" t="str">
        <f ca="1">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 ca="1">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spans="1:28" ht="14" x14ac:dyDescent="0.15">
      <c r="A73" s="41" t="s">
        <v>528</v>
      </c>
      <c r="B73" s="22" t="s">
        <v>529</v>
      </c>
      <c r="C73" s="23" t="str">
        <f ca="1">IFERROR(__xludf.DUMMYFUNCTION("GOOGLETRANSLATE(B73, ""en"", ""fr"")"),"Grécap")</f>
        <v>Grécap</v>
      </c>
      <c r="D73" s="23" t="str">
        <f ca="1">IFERROR(__xludf.DUMMYFUNCTION("GOOGLETRANSLATE(B73, ""en"", ""es"")"),"Gorra verde")</f>
        <v>Gorra verde</v>
      </c>
      <c r="E73" s="23" t="str">
        <f ca="1">IFERROR(__xludf.DUMMYFUNCTION("GOOGLETRANSLATE(B73, ""en"", ""ru"")"),"Греансап")</f>
        <v>Греансап</v>
      </c>
      <c r="F73" s="23" t="str">
        <f ca="1">IFERROR(__xludf.DUMMYFUNCTION("GOOGLETRANSLATE(B73, ""en"", ""tr"")"),"Greencap")</f>
        <v>Greencap</v>
      </c>
      <c r="G73" s="23" t="str">
        <f ca="1">IFERROR(__xludf.DUMMYFUNCTION("GOOGLETRANSLATE(B73, ""en"", ""pt"")"),"Greencap.")</f>
        <v>Greencap.</v>
      </c>
      <c r="H73" s="24" t="str">
        <f ca="1">IFERROR(__xludf.DUMMYFUNCTION("GOOGLETRANSLATE(B73, ""en"", ""de"")"),"Greencap")</f>
        <v>Greencap</v>
      </c>
      <c r="I73" s="23" t="str">
        <f ca="1">IFERROR(__xludf.DUMMYFUNCTION("GOOGLETRANSLATE(B73, ""en"", ""pl"")"),"Greencap.")</f>
        <v>Greencap.</v>
      </c>
      <c r="J73" s="25" t="str">
        <f ca="1">IFERROR(__xludf.DUMMYFUNCTION("GOOGLETRANSLATE(B73, ""en"", ""zh"")"),"绿色娇")</f>
        <v>绿色娇</v>
      </c>
      <c r="K73" s="25" t="str">
        <f ca="1">IFERROR(__xludf.DUMMYFUNCTION("GOOGLETRANSLATE(B73, ""en"", ""vi"")"),"Chiếc mũ xanh")</f>
        <v>Chiếc mũ xanh</v>
      </c>
      <c r="L73" s="26" t="str">
        <f ca="1">IFERROR(__xludf.DUMMYFUNCTION("GOOGLETRANSLATE(B73, ""en"", ""hr"")"),"Greenkap")</f>
        <v>Greenkap</v>
      </c>
      <c r="M73" s="28"/>
      <c r="N73" s="28"/>
      <c r="O73" s="28"/>
      <c r="P73" s="28"/>
      <c r="Q73" s="28"/>
      <c r="R73" s="28"/>
      <c r="S73" s="28"/>
      <c r="T73" s="28"/>
      <c r="U73" s="28"/>
      <c r="V73" s="28"/>
      <c r="W73" s="28"/>
      <c r="X73" s="28"/>
      <c r="Y73" s="28"/>
      <c r="Z73" s="28"/>
      <c r="AA73" s="28"/>
      <c r="AB73" s="28"/>
    </row>
    <row r="74" spans="1:28" ht="70" x14ac:dyDescent="0.15">
      <c r="A74" s="41" t="s">
        <v>530</v>
      </c>
      <c r="B74" s="22" t="s">
        <v>527</v>
      </c>
      <c r="C74" s="23" t="str">
        <f ca="1">IFERROR(__xludf.DUMMYFUNCTION("GOOGLETRANSLATE(B74, ""en"", ""fr"")"),"Peut être mangé ou fabriqué dans une potion pour un effet plus fort.")</f>
        <v>Peut être mangé ou fabriqué dans une potion pour un effet plus fort.</v>
      </c>
      <c r="D74" s="23" t="str">
        <f ca="1">IFERROR(__xludf.DUMMYFUNCTION("GOOGLETRANSLATE(B74, ""en"", ""es"")"),"Se puede comer, o diseñado en una poción para un efecto más fuerte.")</f>
        <v>Se puede comer, o diseñado en una poción para un efecto más fuerte.</v>
      </c>
      <c r="E74" s="23" t="str">
        <f ca="1">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 ca="1">IFERROR(__xludf.DUMMYFUNCTION("GOOGLETRANSLATE(B74, ""en"", ""tr"")"),"Yenilebilir veya daha güçlü bir etki için bir iksir haline getirilebilir.")</f>
        <v>Yenilebilir veya daha güçlü bir etki için bir iksir haline getirilebilir.</v>
      </c>
      <c r="G74" s="23" t="str">
        <f ca="1">IFERROR(__xludf.DUMMYFUNCTION("GOOGLETRANSLATE(B74, ""en"", ""pt"")"),"Pode ser comido, ou trabalhado em uma poção por um efeito mais forte.")</f>
        <v>Pode ser comido, ou trabalhado em uma poção por um efeito mais forte.</v>
      </c>
      <c r="H74" s="24" t="str">
        <f ca="1">IFERROR(__xludf.DUMMYFUNCTION("GOOGLETRANSLATE(B74, ""en"", ""de"")"),"Kann gegessen oder in einen Trank für einen stärkeren Effekt gefertigt werden.")</f>
        <v>Kann gegessen oder in einen Trank für einen stärkeren Effekt gefertigt werden.</v>
      </c>
      <c r="I74" s="23" t="str">
        <f ca="1">IFERROR(__xludf.DUMMYFUNCTION("GOOGLETRANSLATE(B74, ""en"", ""pl"")"),"Może być zjedzony lub wykonany w eliksie dla silniejszego efektu.")</f>
        <v>Może być zjedzony lub wykonany w eliksie dla silniejszego efektu.</v>
      </c>
      <c r="J74" s="25" t="str">
        <f ca="1">IFERROR(__xludf.DUMMYFUNCTION("GOOGLETRANSLATE(B74, ""en"", ""zh"")"),"可以被吃掉，或制作成一个效果的药水。")</f>
        <v>可以被吃掉，或制作成一个效果的药水。</v>
      </c>
      <c r="K74" s="25" t="str">
        <f ca="1">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 ca="1">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spans="1:28" ht="14" x14ac:dyDescent="0.15">
      <c r="A75" s="41" t="s">
        <v>531</v>
      </c>
      <c r="B75" s="22" t="s">
        <v>532</v>
      </c>
      <c r="C75" s="23" t="str">
        <f ca="1">IFERROR(__xludf.DUMMYFUNCTION("GOOGLETRANSLATE(B75, ""en"", ""fr"")"),"Casquette bleue")</f>
        <v>Casquette bleue</v>
      </c>
      <c r="D75" s="23" t="str">
        <f ca="1">IFERROR(__xludf.DUMMYFUNCTION("GOOGLETRANSLATE(B75, ""en"", ""es"")"),"Gorra azul")</f>
        <v>Gorra azul</v>
      </c>
      <c r="E75" s="23" t="str">
        <f ca="1">IFERROR(__xludf.DUMMYFUNCTION("GOOGLETRANSLATE(B75, ""en"", ""ru"")"),"BlueCap")</f>
        <v>BlueCap</v>
      </c>
      <c r="F75" s="23" t="str">
        <f ca="1">IFERROR(__xludf.DUMMYFUNCTION("GOOGLETRANSLATE(B75, ""en"", ""tr"")"),"Mavi şapka")</f>
        <v>Mavi şapka</v>
      </c>
      <c r="G75" s="23" t="str">
        <f ca="1">IFERROR(__xludf.DUMMYFUNCTION("GOOGLETRANSLATE(B75, ""en"", ""pt"")"),"Boné azul")</f>
        <v>Boné azul</v>
      </c>
      <c r="H75" s="24" t="str">
        <f ca="1">IFERROR(__xludf.DUMMYFUNCTION("GOOGLETRANSLATE(B75, ""en"", ""de"")"),"Blaue Kappe")</f>
        <v>Blaue Kappe</v>
      </c>
      <c r="I75" s="23" t="str">
        <f ca="1">IFERROR(__xludf.DUMMYFUNCTION("GOOGLETRANSLATE(B75, ""en"", ""pl"")"),"Niebieska czapka")</f>
        <v>Niebieska czapka</v>
      </c>
      <c r="J75" s="25" t="str">
        <f ca="1">IFERROR(__xludf.DUMMYFUNCTION("GOOGLETRANSLATE(B75, ""en"", ""zh"")"),"bluecap.")</f>
        <v>bluecap.</v>
      </c>
      <c r="K75" s="25" t="str">
        <f ca="1">IFERROR(__xludf.DUMMYFUNCTION("GOOGLETRANSLATE(B75, ""en"", ""vi"")"),"Mũ lưỡi trai màu xanh")</f>
        <v>Mũ lưỡi trai màu xanh</v>
      </c>
      <c r="L75" s="26" t="str">
        <f ca="1">IFERROR(__xludf.DUMMYFUNCTION("GOOGLETRANSLATE(B75, ""en"", ""hr"")"),"Bluecap")</f>
        <v>Bluecap</v>
      </c>
      <c r="M75" s="28"/>
      <c r="N75" s="28"/>
      <c r="O75" s="28"/>
      <c r="P75" s="28"/>
      <c r="Q75" s="28"/>
      <c r="R75" s="28"/>
      <c r="S75" s="28"/>
      <c r="T75" s="28"/>
      <c r="U75" s="28"/>
      <c r="V75" s="28"/>
      <c r="W75" s="28"/>
      <c r="X75" s="28"/>
      <c r="Y75" s="28"/>
      <c r="Z75" s="28"/>
      <c r="AA75" s="28"/>
      <c r="AB75" s="28"/>
    </row>
    <row r="76" spans="1:28" ht="70" x14ac:dyDescent="0.15">
      <c r="A76" s="41" t="s">
        <v>533</v>
      </c>
      <c r="B76" s="22" t="s">
        <v>527</v>
      </c>
      <c r="C76" s="23" t="str">
        <f ca="1">IFERROR(__xludf.DUMMYFUNCTION("GOOGLETRANSLATE(B76, ""en"", ""fr"")"),"Peut être mangé ou fabriqué dans une potion pour un effet plus fort.")</f>
        <v>Peut être mangé ou fabriqué dans une potion pour un effet plus fort.</v>
      </c>
      <c r="D76" s="23" t="str">
        <f ca="1">IFERROR(__xludf.DUMMYFUNCTION("GOOGLETRANSLATE(B76, ""en"", ""es"")"),"Se puede comer, o diseñado en una poción para un efecto más fuerte.")</f>
        <v>Se puede comer, o diseñado en una poción para un efecto más fuerte.</v>
      </c>
      <c r="E76" s="23" t="str">
        <f ca="1">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 ca="1">IFERROR(__xludf.DUMMYFUNCTION("GOOGLETRANSLATE(B76, ""en"", ""tr"")"),"Yenilebilir veya daha güçlü bir etki için bir iksir haline getirilebilir.")</f>
        <v>Yenilebilir veya daha güçlü bir etki için bir iksir haline getirilebilir.</v>
      </c>
      <c r="G76" s="23" t="str">
        <f ca="1">IFERROR(__xludf.DUMMYFUNCTION("GOOGLETRANSLATE(B76, ""en"", ""pt"")"),"Pode ser comido, ou trabalhado em uma poção por um efeito mais forte.")</f>
        <v>Pode ser comido, ou trabalhado em uma poção por um efeito mais forte.</v>
      </c>
      <c r="H76" s="24" t="str">
        <f ca="1">IFERROR(__xludf.DUMMYFUNCTION("GOOGLETRANSLATE(B76, ""en"", ""de"")"),"Kann gegessen oder in einen Trank für einen stärkeren Effekt gefertigt werden.")</f>
        <v>Kann gegessen oder in einen Trank für einen stärkeren Effekt gefertigt werden.</v>
      </c>
      <c r="I76" s="23" t="str">
        <f ca="1">IFERROR(__xludf.DUMMYFUNCTION("GOOGLETRANSLATE(B76, ""en"", ""pl"")"),"Może być zjedzony lub wykonany w eliksie dla silniejszego efektu.")</f>
        <v>Może być zjedzony lub wykonany w eliksie dla silniejszego efektu.</v>
      </c>
      <c r="J76" s="25" t="str">
        <f ca="1">IFERROR(__xludf.DUMMYFUNCTION("GOOGLETRANSLATE(B76, ""en"", ""zh"")"),"可以被吃掉，或制作成一个效果的药水。")</f>
        <v>可以被吃掉，或制作成一个效果的药水。</v>
      </c>
      <c r="K76" s="25" t="str">
        <f ca="1">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 ca="1">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spans="1:28" ht="14" x14ac:dyDescent="0.15">
      <c r="A77" s="41" t="s">
        <v>534</v>
      </c>
      <c r="B77" s="22" t="s">
        <v>535</v>
      </c>
      <c r="C77" s="23" t="str">
        <f ca="1">IFERROR(__xludf.DUMMYFUNCTION("GOOGLETRANSLATE(B77, ""en"", ""fr"")"),"Grotcap")</f>
        <v>Grotcap</v>
      </c>
      <c r="D77" s="23" t="str">
        <f ca="1">IFERROR(__xludf.DUMMYFUNCTION("GOOGLETRANSLATE(B77, ""en"", ""es"")"),"Frascos")</f>
        <v>Frascos</v>
      </c>
      <c r="E77" s="23" t="str">
        <f ca="1">IFERROR(__xludf.DUMMYFUNCTION("GOOGLETRANSLATE(B77, ""en"", ""ru"")"),"FrostCap")</f>
        <v>FrostCap</v>
      </c>
      <c r="F77" s="23" t="str">
        <f ca="1">IFERROR(__xludf.DUMMYFUNCTION("GOOGLETRANSLATE(B77, ""en"", ""tr"")"),"Frostcap")</f>
        <v>Frostcap</v>
      </c>
      <c r="G77" s="23" t="str">
        <f ca="1">IFERROR(__xludf.DUMMYFUNCTION("GOOGLETRANSLATE(B77, ""en"", ""pt"")"),"Frostcap.")</f>
        <v>Frostcap.</v>
      </c>
      <c r="H77" s="24" t="str">
        <f ca="1">IFERROR(__xludf.DUMMYFUNCTION("GOOGLETRANSLATE(B77, ""en"", ""de"")"),"Frostcap")</f>
        <v>Frostcap</v>
      </c>
      <c r="I77" s="23" t="str">
        <f ca="1">IFERROR(__xludf.DUMMYFUNCTION("GOOGLETRANSLATE(B77, ""en"", ""pl"")"),"Frostrapp")</f>
        <v>Frostrapp</v>
      </c>
      <c r="J77" s="25" t="str">
        <f ca="1">IFERROR(__xludf.DUMMYFUNCTION("GOOGLETRANSLATE(B77, ""en"", ""zh"")"),"弗罗斯特卡")</f>
        <v>弗罗斯特卡</v>
      </c>
      <c r="K77" s="25" t="str">
        <f ca="1">IFERROR(__xludf.DUMMYFUNCTION("GOOGLETRANSLATE(B77, ""en"", ""vi"")"),"Frostcap.")</f>
        <v>Frostcap.</v>
      </c>
      <c r="L77" s="26" t="str">
        <f ca="1">IFERROR(__xludf.DUMMYFUNCTION("GOOGLETRANSLATE(B77, ""en"", ""hr"")"),"Frostcap")</f>
        <v>Frostcap</v>
      </c>
      <c r="M77" s="28"/>
      <c r="N77" s="28"/>
      <c r="O77" s="28"/>
      <c r="P77" s="28"/>
      <c r="Q77" s="28"/>
      <c r="R77" s="28"/>
      <c r="S77" s="28"/>
      <c r="T77" s="28"/>
      <c r="U77" s="28"/>
      <c r="V77" s="28"/>
      <c r="W77" s="28"/>
      <c r="X77" s="28"/>
      <c r="Y77" s="28"/>
      <c r="Z77" s="28"/>
      <c r="AA77" s="28"/>
      <c r="AB77" s="28"/>
    </row>
    <row r="78" spans="1:28" ht="70" x14ac:dyDescent="0.15">
      <c r="A78" s="41" t="s">
        <v>536</v>
      </c>
      <c r="B78" s="22" t="s">
        <v>527</v>
      </c>
      <c r="C78" s="23" t="str">
        <f ca="1">IFERROR(__xludf.DUMMYFUNCTION("GOOGLETRANSLATE(B78, ""en"", ""fr"")"),"Peut être mangé ou fabriqué dans une potion pour un effet plus fort.")</f>
        <v>Peut être mangé ou fabriqué dans une potion pour un effet plus fort.</v>
      </c>
      <c r="D78" s="23" t="str">
        <f ca="1">IFERROR(__xludf.DUMMYFUNCTION("GOOGLETRANSLATE(B78, ""en"", ""es"")"),"Se puede comer, o diseñado en una poción para un efecto más fuerte.")</f>
        <v>Se puede comer, o diseñado en una poción para un efecto más fuerte.</v>
      </c>
      <c r="E78" s="23" t="str">
        <f ca="1">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 ca="1">IFERROR(__xludf.DUMMYFUNCTION("GOOGLETRANSLATE(B78, ""en"", ""tr"")"),"Yenilebilir veya daha güçlü bir etki için bir iksir haline getirilebilir.")</f>
        <v>Yenilebilir veya daha güçlü bir etki için bir iksir haline getirilebilir.</v>
      </c>
      <c r="G78" s="23" t="str">
        <f ca="1">IFERROR(__xludf.DUMMYFUNCTION("GOOGLETRANSLATE(B78, ""en"", ""pt"")"),"Pode ser comido, ou trabalhado em uma poção por um efeito mais forte.")</f>
        <v>Pode ser comido, ou trabalhado em uma poção por um efeito mais forte.</v>
      </c>
      <c r="H78" s="24" t="str">
        <f ca="1">IFERROR(__xludf.DUMMYFUNCTION("GOOGLETRANSLATE(B78, ""en"", ""de"")"),"Kann gegessen oder in einen Trank für einen stärkeren Effekt gefertigt werden.")</f>
        <v>Kann gegessen oder in einen Trank für einen stärkeren Effekt gefertigt werden.</v>
      </c>
      <c r="I78" s="23" t="str">
        <f ca="1">IFERROR(__xludf.DUMMYFUNCTION("GOOGLETRANSLATE(B78, ""en"", ""pl"")"),"Może być zjedzony lub wykonany w eliksie dla silniejszego efektu.")</f>
        <v>Może być zjedzony lub wykonany w eliksie dla silniejszego efektu.</v>
      </c>
      <c r="J78" s="25" t="str">
        <f ca="1">IFERROR(__xludf.DUMMYFUNCTION("GOOGLETRANSLATE(B78, ""en"", ""zh"")"),"可以被吃掉，或制作成一个效果的药水。")</f>
        <v>可以被吃掉，或制作成一个效果的药水。</v>
      </c>
      <c r="K78" s="25" t="str">
        <f ca="1">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 ca="1">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spans="1:28" ht="14" x14ac:dyDescent="0.15">
      <c r="A79" s="40" t="s">
        <v>537</v>
      </c>
      <c r="B79" s="22" t="s">
        <v>538</v>
      </c>
      <c r="C79" s="23" t="str">
        <f ca="1">IFERROR(__xludf.DUMMYFUNCTION("GOOGLETRANSLATE(B79, ""en"", ""fr"")"),"Potion de vie")</f>
        <v>Potion de vie</v>
      </c>
      <c r="D79" s="23" t="str">
        <f ca="1">IFERROR(__xludf.DUMMYFUNCTION("GOOGLETRANSLATE(B79, ""en"", ""es"")"),"Poción de salud")</f>
        <v>Poción de salud</v>
      </c>
      <c r="E79" s="23" t="str">
        <f ca="1">IFERROR(__xludf.DUMMYFUNCTION("GOOGLETRANSLATE(B79, ""en"", ""ru"")"),"Здравоохранение")</f>
        <v>Здравоохранение</v>
      </c>
      <c r="F79" s="23" t="str">
        <f ca="1">IFERROR(__xludf.DUMMYFUNCTION("GOOGLETRANSLATE(B79, ""en"", ""tr"")"),"Can iksiri")</f>
        <v>Can iksiri</v>
      </c>
      <c r="G79" s="23" t="str">
        <f ca="1">IFERROR(__xludf.DUMMYFUNCTION("GOOGLETRANSLATE(B79, ""en"", ""pt"")"),"Poção de saúde")</f>
        <v>Poção de saúde</v>
      </c>
      <c r="H79" s="24" t="str">
        <f ca="1">IFERROR(__xludf.DUMMYFUNCTION("GOOGLETRANSLATE(B79, ""en"", ""de"")"),"Gesundheitstrank")</f>
        <v>Gesundheitstrank</v>
      </c>
      <c r="I79" s="23" t="str">
        <f ca="1">IFERROR(__xludf.DUMMYFUNCTION("GOOGLETRANSLATE(B79, ""en"", ""pl"")"),"Mikstura zdrowia")</f>
        <v>Mikstura zdrowia</v>
      </c>
      <c r="J79" s="25" t="str">
        <f ca="1">IFERROR(__xludf.DUMMYFUNCTION("GOOGLETRANSLATE(B79, ""en"", ""zh"")"),"健康药水")</f>
        <v>健康药水</v>
      </c>
      <c r="K79" s="25" t="str">
        <f ca="1">IFERROR(__xludf.DUMMYFUNCTION("GOOGLETRANSLATE(B79, ""en"", ""vi"")"),"Bình máu")</f>
        <v>Bình máu</v>
      </c>
      <c r="L79" s="26" t="str">
        <f ca="1">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spans="1:28" ht="56" x14ac:dyDescent="0.15">
      <c r="A80" s="40" t="s">
        <v>539</v>
      </c>
      <c r="B80" s="22" t="s">
        <v>540</v>
      </c>
      <c r="C80" s="23" t="str">
        <f ca="1">IFERROR(__xludf.DUMMYFUNCTION("GOOGLETRANSLATE(B80, ""en"", ""fr"")"),"Restaure quelques points de vie au fil du temps lorsqu'il est utilisé.")</f>
        <v>Restaure quelques points de vie au fil du temps lorsqu'il est utilisé.</v>
      </c>
      <c r="D80" s="23" t="str">
        <f ca="1">IFERROR(__xludf.DUMMYFUNCTION("GOOGLETRANSLATE(B80, ""en"", ""es"")"),"Restaura algunos puntos de paso con el tiempo cuando se usa.")</f>
        <v>Restaura algunos puntos de paso con el tiempo cuando se usa.</v>
      </c>
      <c r="E80" s="23" t="str">
        <f ca="1">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 ca="1">IFERROR(__xludf.DUMMYFUNCTION("GOOGLETRANSLATE(B80, ""en"", ""tr"")"),"Kullanıldığında zaman içinde bazı hitportları geri yükler.")</f>
        <v>Kullanıldığında zaman içinde bazı hitportları geri yükler.</v>
      </c>
      <c r="G80" s="23" t="str">
        <f ca="1">IFERROR(__xludf.DUMMYFUNCTION("GOOGLETRANSLATE(B80, ""en"", ""pt"")"),"Restaura alguns hitpoints ao longo do tempo quando usado.")</f>
        <v>Restaura alguns hitpoints ao longo do tempo quando usado.</v>
      </c>
      <c r="H80" s="24" t="str">
        <f ca="1">IFERROR(__xludf.DUMMYFUNCTION("GOOGLETRANSLATE(B80, ""en"", ""de"")"),"Stellen Sie einige Trefferpunkte im Laufe der Zeit wieder her.")</f>
        <v>Stellen Sie einige Trefferpunkte im Laufe der Zeit wieder her.</v>
      </c>
      <c r="I80" s="23" t="str">
        <f ca="1">IFERROR(__xludf.DUMMYFUNCTION("GOOGLETRANSLATE(B80, ""en"", ""pl"")"),"Przywraca pewne punkty życia w czasie, gdy jest używany.")</f>
        <v>Przywraca pewne punkty życia w czasie, gdy jest używany.</v>
      </c>
      <c r="J80" s="25" t="str">
        <f ca="1">IFERROR(__xludf.DUMMYFUNCTION("GOOGLETRANSLATE(B80, ""en"", ""zh"")"),"使用时会随着时间的推移恢复一些特点。")</f>
        <v>使用时会随着时间的推移恢复一些特点。</v>
      </c>
      <c r="K80" s="25" t="str">
        <f ca="1">IFERROR(__xludf.DUMMYFUNCTION("GOOGLETRANSLATE(B80, ""en"", ""vi"")"),"Khôi phục một số điểm nhấn theo thời gian khi sử dụng.")</f>
        <v>Khôi phục một số điểm nhấn theo thời gian khi sử dụng.</v>
      </c>
      <c r="L80" s="26" t="str">
        <f ca="1">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spans="1:28" ht="28" x14ac:dyDescent="0.15">
      <c r="A81" s="40" t="s">
        <v>541</v>
      </c>
      <c r="B81" s="22" t="s">
        <v>542</v>
      </c>
      <c r="C81" s="23" t="str">
        <f ca="1">IFERROR(__xludf.DUMMYFUNCTION("GOOGLETRANSLATE(B81, ""en"", ""fr"")"),"Potion d'énergie")</f>
        <v>Potion d'énergie</v>
      </c>
      <c r="D81" s="23" t="str">
        <f ca="1">IFERROR(__xludf.DUMMYFUNCTION("GOOGLETRANSLATE(B81, ""en"", ""es"")"),"Poción energética")</f>
        <v>Poción energética</v>
      </c>
      <c r="E81" s="23" t="str">
        <f ca="1">IFERROR(__xludf.DUMMYFUNCTION("GOOGLETRANSLATE(B81, ""en"", ""ru"")"),"Зелье энергии")</f>
        <v>Зелье энергии</v>
      </c>
      <c r="F81" s="23" t="str">
        <f ca="1">IFERROR(__xludf.DUMMYFUNCTION("GOOGLETRANSLATE(B81, ""en"", ""tr"")"),"Enerji iksiri")</f>
        <v>Enerji iksiri</v>
      </c>
      <c r="G81" s="23" t="str">
        <f ca="1">IFERROR(__xludf.DUMMYFUNCTION("GOOGLETRANSLATE(B81, ""en"", ""pt"")"),"Poção de energia")</f>
        <v>Poção de energia</v>
      </c>
      <c r="H81" s="24" t="str">
        <f ca="1">IFERROR(__xludf.DUMMYFUNCTION("GOOGLETRANSLATE(B81, ""en"", ""de"")"),"Energiebranion")</f>
        <v>Energiebranion</v>
      </c>
      <c r="I81" s="23" t="str">
        <f ca="1">IFERROR(__xludf.DUMMYFUNCTION("GOOGLETRANSLATE(B81, ""en"", ""pl"")"),"Mikstura energetyczna")</f>
        <v>Mikstura energetyczna</v>
      </c>
      <c r="J81" s="25" t="str">
        <f ca="1">IFERROR(__xludf.DUMMYFUNCTION("GOOGLETRANSLATE(B81, ""en"", ""zh"")"),"能量药水")</f>
        <v>能量药水</v>
      </c>
      <c r="K81" s="25" t="str">
        <f ca="1">IFERROR(__xludf.DUMMYFUNCTION("GOOGLETRANSLATE(B81, ""en"", ""vi"")"),"Năng lượng năng lượng")</f>
        <v>Năng lượng năng lượng</v>
      </c>
      <c r="L81" s="26" t="str">
        <f ca="1">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spans="1:28" ht="56" x14ac:dyDescent="0.15">
      <c r="A82" s="40" t="s">
        <v>543</v>
      </c>
      <c r="B82" s="22" t="s">
        <v>544</v>
      </c>
      <c r="C82" s="23" t="str">
        <f ca="1">IFERROR(__xludf.DUMMYFUNCTION("GOOGLETRANSLATE(B82, ""en"", ""fr"")"),"Restaure de l'énergie au fil du temps lorsqu'il est utilisé.")</f>
        <v>Restaure de l'énergie au fil du temps lorsqu'il est utilisé.</v>
      </c>
      <c r="D82" s="23" t="str">
        <f ca="1">IFERROR(__xludf.DUMMYFUNCTION("GOOGLETRANSLATE(B82, ""en"", ""es"")"),"Restaura algo de energía con el tiempo cuando se usa.")</f>
        <v>Restaura algo de energía con el tiempo cuando se usa.</v>
      </c>
      <c r="E82" s="23" t="str">
        <f ca="1">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 ca="1">IFERROR(__xludf.DUMMYFUNCTION("GOOGLETRANSLATE(B82, ""en"", ""tr"")"),"Kullanıldığında zaman içinde bazı enerjileri geri yükler.")</f>
        <v>Kullanıldığında zaman içinde bazı enerjileri geri yükler.</v>
      </c>
      <c r="G82" s="23" t="str">
        <f ca="1">IFERROR(__xludf.DUMMYFUNCTION("GOOGLETRANSLATE(B82, ""en"", ""pt"")"),"Restaura alguma energia ao longo do tempo quando usada.")</f>
        <v>Restaura alguma energia ao longo do tempo quando usada.</v>
      </c>
      <c r="H82" s="24" t="str">
        <f ca="1">IFERROR(__xludf.DUMMYFUNCTION("GOOGLETRANSLATE(B82, ""en"", ""de"")"),"Wiederherstellen Sie im Laufe der Zeit etwas Energie wieder.")</f>
        <v>Wiederherstellen Sie im Laufe der Zeit etwas Energie wieder.</v>
      </c>
      <c r="I82" s="23" t="str">
        <f ca="1">IFERROR(__xludf.DUMMYFUNCTION("GOOGLETRANSLATE(B82, ""en"", ""pl"")"),"Przywraca trochę energii w czasie, gdy jest używany.")</f>
        <v>Przywraca trochę energii w czasie, gdy jest używany.</v>
      </c>
      <c r="J82" s="25" t="str">
        <f ca="1">IFERROR(__xludf.DUMMYFUNCTION("GOOGLETRANSLATE(B82, ""en"", ""zh"")"),"使用时会随着时间的推移恢复一些能量。")</f>
        <v>使用时会随着时间的推移恢复一些能量。</v>
      </c>
      <c r="K82" s="25" t="str">
        <f ca="1">IFERROR(__xludf.DUMMYFUNCTION("GOOGLETRANSLATE(B82, ""en"", ""vi"")"),"Khôi phục một số năng lượng theo thời gian khi sử dụng.")</f>
        <v>Khôi phục một số năng lượng theo thời gian khi sử dụng.</v>
      </c>
      <c r="L82" s="26" t="str">
        <f ca="1">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spans="1:28" ht="14" x14ac:dyDescent="0.15">
      <c r="A83" s="40" t="s">
        <v>545</v>
      </c>
      <c r="B83" s="22" t="s">
        <v>546</v>
      </c>
      <c r="C83" s="23" t="str">
        <f ca="1">IFERROR(__xludf.DUMMYFUNCTION("GOOGLETRANSLATE(B83, ""en"", ""fr"")"),"Faire soigner la potion")</f>
        <v>Faire soigner la potion</v>
      </c>
      <c r="D83" s="23" t="str">
        <f ca="1">IFERROR(__xludf.DUMMYFUNCTION("GOOGLETRANSLATE(B83, ""en"", ""es"")"),"Poción de curación")</f>
        <v>Poción de curación</v>
      </c>
      <c r="E83" s="23" t="str">
        <f ca="1">IFERROR(__xludf.DUMMYFUNCTION("GOOGLETRANSLATE(B83, ""en"", ""ru"")"),"Вылечить зелье")</f>
        <v>Вылечить зелье</v>
      </c>
      <c r="F83" s="23" t="str">
        <f ca="1">IFERROR(__xludf.DUMMYFUNCTION("GOOGLETRANSLATE(B83, ""en"", ""tr"")"),"Cüret iksiri")</f>
        <v>Cüret iksiri</v>
      </c>
      <c r="G83" s="23" t="str">
        <f ca="1">IFERROR(__xludf.DUMMYFUNCTION("GOOGLETRANSLATE(B83, ""en"", ""pt"")"),"Cura poção.")</f>
        <v>Cura poção.</v>
      </c>
      <c r="H83" s="24" t="str">
        <f ca="1">IFERROR(__xludf.DUMMYFUNCTION("GOOGLETRANSLATE(B83, ""en"", ""de"")"),"Den Trank heilen")</f>
        <v>Den Trank heilen</v>
      </c>
      <c r="I83" s="23" t="str">
        <f ca="1">IFERROR(__xludf.DUMMYFUNCTION("GOOGLETRANSLATE(B83, ""en"", ""pl"")"),"Eliksir")</f>
        <v>Eliksir</v>
      </c>
      <c r="J83" s="25" t="str">
        <f ca="1">IFERROR(__xludf.DUMMYFUNCTION("GOOGLETRANSLATE(B83, ""en"", ""zh"")"),"固化药水")</f>
        <v>固化药水</v>
      </c>
      <c r="K83" s="25" t="str">
        <f ca="1">IFERROR(__xludf.DUMMYFUNCTION("GOOGLETRANSLATE(B83, ""en"", ""vi"")"),"Cure Potion.")</f>
        <v>Cure Potion.</v>
      </c>
      <c r="L83" s="26" t="str">
        <f ca="1">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spans="1:28" ht="70" x14ac:dyDescent="0.15">
      <c r="A84" s="40" t="s">
        <v>547</v>
      </c>
      <c r="B84" s="22" t="s">
        <v>548</v>
      </c>
      <c r="C84" s="23" t="str">
        <f ca="1">IFERROR(__xludf.DUMMYFUNCTION("GOOGLETRANSLATE(B84, ""en"", ""fr"")"),"Supprime le poison et la maladie et vous rend immunisé pour eux pendant un moment.")</f>
        <v>Supprime le poison et la maladie et vous rend immunisé pour eux pendant un moment.</v>
      </c>
      <c r="D84" s="23" t="str">
        <f ca="1">IFERROR(__xludf.DUMMYFUNCTION("GOOGLETRANSLATE(B84, ""en"", ""es"")"),"Elimina veneno y enfermedad y te hace inmune a ellos por un tiempo.")</f>
        <v>Elimina veneno y enfermedad y te hace inmune a ellos por un tiempo.</v>
      </c>
      <c r="E84" s="23" t="str">
        <f ca="1">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 ca="1">IFERROR(__xludf.DUMMYFUNCTION("GOOGLETRANSLATE(B84, ""en"", ""tr"")"),"Zehir ve hastalığı giderir ve bir süre onlara bağışıklık kazandırır.")</f>
        <v>Zehir ve hastalığı giderir ve bir süre onlara bağışıklık kazandırır.</v>
      </c>
      <c r="G84" s="23" t="str">
        <f ca="1">IFERROR(__xludf.DUMMYFUNCTION("GOOGLETRANSLATE(B84, ""en"", ""pt"")"),"Remove veneno e doença e faz você imune a eles por um tempo.")</f>
        <v>Remove veneno e doença e faz você imune a eles por um tempo.</v>
      </c>
      <c r="H84" s="24" t="str">
        <f ca="1">IFERROR(__xludf.DUMMYFUNCTION("GOOGLETRANSLATE(B84, ""en"", ""de"")"),"Entfernt Gift und Krankheit und lässt dich eine Weile gegen sie immun.")</f>
        <v>Entfernt Gift und Krankheit und lässt dich eine Weile gegen sie immun.</v>
      </c>
      <c r="I84" s="23" t="str">
        <f ca="1">IFERROR(__xludf.DUMMYFUNCTION("GOOGLETRANSLATE(B84, ""en"", ""pl"")"),"Usuwa truciznę i chorobę i sprawia, że ​​odporne na chwilę.")</f>
        <v>Usuwa truciznę i chorobę i sprawia, że ​​odporne na chwilę.</v>
      </c>
      <c r="J84" s="25" t="str">
        <f ca="1">IFERROR(__xludf.DUMMYFUNCTION("GOOGLETRANSLATE(B84, ""en"", ""zh"")"),"除去毒病和疾病，让你对他们免疫一段时间。")</f>
        <v>除去毒病和疾病，让你对他们免疫一段时间。</v>
      </c>
      <c r="K84" s="25" t="str">
        <f ca="1">IFERROR(__xludf.DUMMYFUNCTION("GOOGLETRANSLATE(B84, ""en"", ""vi"")"),"Loại bỏ chất độc và bệnh tật và khiến bạn miễn nhiễm với họ một lúc.")</f>
        <v>Loại bỏ chất độc và bệnh tật và khiến bạn miễn nhiễm với họ một lúc.</v>
      </c>
      <c r="L84" s="26" t="str">
        <f ca="1">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spans="1:28" ht="28" x14ac:dyDescent="0.15">
      <c r="A85" s="40" t="s">
        <v>549</v>
      </c>
      <c r="B85" s="22" t="s">
        <v>550</v>
      </c>
      <c r="C85" s="23" t="str">
        <f ca="1">IFERROR(__xludf.DUMMYFUNCTION("GOOGLETRANSLATE(B85, ""en"", ""fr"")"),"Potion anti-gel")</f>
        <v>Potion anti-gel</v>
      </c>
      <c r="D85" s="23" t="str">
        <f ca="1">IFERROR(__xludf.DUMMYFUNCTION("GOOGLETRANSLATE(B85, ""en"", ""es"")"),"Poción anticongelante")</f>
        <v>Poción anticongelante</v>
      </c>
      <c r="E85" s="23" t="str">
        <f ca="1">IFERROR(__xludf.DUMMYFUNCTION("GOOGLETRANSLATE(B85, ""en"", ""ru"")"),"Антифризное зелье")</f>
        <v>Антифризное зелье</v>
      </c>
      <c r="F85" s="23" t="str">
        <f ca="1">IFERROR(__xludf.DUMMYFUNCTION("GOOGLETRANSLATE(B85, ""en"", ""tr"")"),"Dondurucu iksir")</f>
        <v>Dondurucu iksir</v>
      </c>
      <c r="G85" s="23" t="str">
        <f ca="1">IFERROR(__xludf.DUMMYFUNCTION("GOOGLETRANSLATE(B85, ""en"", ""pt"")"),"Poção anti-congelamento")</f>
        <v>Poção anti-congelamento</v>
      </c>
      <c r="H85" s="24" t="str">
        <f ca="1">IFERROR(__xludf.DUMMYFUNCTION("GOOGLETRANSLATE(B85, ""en"", ""de"")"),"Einfrieren")</f>
        <v>Einfrieren</v>
      </c>
      <c r="I85" s="23" t="str">
        <f ca="1">IFERROR(__xludf.DUMMYFUNCTION("GOOGLETRANSLATE(B85, ""en"", ""pl"")"),"Eliksir przeciw zamarzaniu")</f>
        <v>Eliksir przeciw zamarzaniu</v>
      </c>
      <c r="J85" s="25" t="str">
        <f ca="1">IFERROR(__xludf.DUMMYFUNCTION("GOOGLETRANSLATE(B85, ""en"", ""zh"")"),"防冻药水")</f>
        <v>防冻药水</v>
      </c>
      <c r="K85" s="25" t="str">
        <f ca="1">IFERROR(__xludf.DUMMYFUNCTION("GOOGLETRANSLATE(B85, ""en"", ""vi"")"),"Lotion chống đông")</f>
        <v>Lotion chống đông</v>
      </c>
      <c r="L85" s="26" t="str">
        <f ca="1">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spans="1:28" ht="84" x14ac:dyDescent="0.15">
      <c r="A86" s="40" t="s">
        <v>551</v>
      </c>
      <c r="B86" s="22" t="s">
        <v>552</v>
      </c>
      <c r="C86" s="23" t="str">
        <f ca="1">IFERROR(__xludf.DUMMYFUNCTION("GOOGLETRANSLATE(B86, ""en"", ""fr"")"),"Enlève le refroidissement et vous rend à l'abri pendant un moment.")</f>
        <v>Enlève le refroidissement et vous rend à l'abri pendant un moment.</v>
      </c>
      <c r="D86" s="23" t="str">
        <f ca="1">IFERROR(__xludf.DUMMYFUNCTION("GOOGLETRANSLATE(B86, ""en"", ""es"")"),"Elimina enfriado y te hace inmune por un tiempo.")</f>
        <v>Elimina enfriado y te hace inmune por un tiempo.</v>
      </c>
      <c r="E86" s="23" t="str">
        <f ca="1">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 ca="1">IFERROR(__xludf.DUMMYFUNCTION("GOOGLETRANSLATE(B86, ""en"", ""tr"")"),"Soğutulmuş kaldırır ve bir süredir sizi bağışıklık kazandırır.")</f>
        <v>Soğutulmuş kaldırır ve bir süredir sizi bağışıklık kazandırır.</v>
      </c>
      <c r="G86" s="23" t="str">
        <f ca="1">IFERROR(__xludf.DUMMYFUNCTION("GOOGLETRANSLATE(B86, ""en"", ""pt"")"),"Remove refrigerado e faz você imune a isso por um tempo.")</f>
        <v>Remove refrigerado e faz você imune a isso por um tempo.</v>
      </c>
      <c r="H86" s="24" t="str">
        <f ca="1">IFERROR(__xludf.DUMMYFUNCTION("GOOGLETRANSLATE(B86, ""en"", ""de"")"),"Entfernt gekühlt und lässt dich eine Weile immunern.")</f>
        <v>Entfernt gekühlt und lässt dich eine Weile immunern.</v>
      </c>
      <c r="I86" s="23" t="str">
        <f ca="1">IFERROR(__xludf.DUMMYFUNCTION("GOOGLETRANSLATE(B86, ""en"", ""pl"")"),"Usuwa schłodzone i sprawia, że ​​przez chwilę odporne.")</f>
        <v>Usuwa schłodzone i sprawia, że ​​przez chwilę odporne.</v>
      </c>
      <c r="J86" s="25" t="str">
        <f ca="1">IFERROR(__xludf.DUMMYFUNCTION("GOOGLETRANSLATE(B86, ""en"", ""zh"")"),"删除冷藏并让你免于它一段时间。")</f>
        <v>删除冷藏并让你免于它一段时间。</v>
      </c>
      <c r="K86" s="25" t="str">
        <f ca="1">IFERROR(__xludf.DUMMYFUNCTION("GOOGLETRANSLATE(B86, ""en"", ""vi"")"),"Loại bỏ ướp lạnh và khiến bạn miễn nhiễm với nó một lúc.")</f>
        <v>Loại bỏ ướp lạnh và khiến bạn miễn nhiễm với nó một lúc.</v>
      </c>
      <c r="L86" s="26" t="str">
        <f ca="1">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spans="1:28" ht="14" x14ac:dyDescent="0.15">
      <c r="A87" s="21" t="s">
        <v>553</v>
      </c>
      <c r="B87" s="22" t="s">
        <v>554</v>
      </c>
      <c r="C87" s="23" t="str">
        <f ca="1">IFERROR(__xludf.DUMMYFUNCTION("GOOGLETRANSLATE(B87, ""en"", ""fr"")"),"Club de bois")</f>
        <v>Club de bois</v>
      </c>
      <c r="D87" s="23" t="str">
        <f ca="1">IFERROR(__xludf.DUMMYFUNCTION("GOOGLETRANSLATE(B87, ""en"", ""es"")"),"Club de madera")</f>
        <v>Club de madera</v>
      </c>
      <c r="E87" s="23" t="str">
        <f ca="1">IFERROR(__xludf.DUMMYFUNCTION("GOOGLETRANSLATE(B87, ""en"", ""ru"")"),"Деревянный клуб")</f>
        <v>Деревянный клуб</v>
      </c>
      <c r="F87" s="23" t="str">
        <f ca="1">IFERROR(__xludf.DUMMYFUNCTION("GOOGLETRANSLATE(B87, ""en"", ""tr"")"),"Ahşap kulüp")</f>
        <v>Ahşap kulüp</v>
      </c>
      <c r="G87" s="23" t="str">
        <f ca="1">IFERROR(__xludf.DUMMYFUNCTION("GOOGLETRANSLATE(B87, ""en"", ""pt"")"),"Clube de madeira")</f>
        <v>Clube de madeira</v>
      </c>
      <c r="H87" s="24" t="str">
        <f ca="1">IFERROR(__xludf.DUMMYFUNCTION("GOOGLETRANSLATE(B87, ""en"", ""de"")"),"Holzknüppel")</f>
        <v>Holzknüppel</v>
      </c>
      <c r="I87" s="23" t="str">
        <f ca="1">IFERROR(__xludf.DUMMYFUNCTION("GOOGLETRANSLATE(B87, ""en"", ""pl"")"),"Drewniany klub")</f>
        <v>Drewniany klub</v>
      </c>
      <c r="J87" s="25" t="str">
        <f ca="1">IFERROR(__xludf.DUMMYFUNCTION("GOOGLETRANSLATE(B87, ""en"", ""zh"")"),"棒槌")</f>
        <v>棒槌</v>
      </c>
      <c r="K87" s="25" t="str">
        <f ca="1">IFERROR(__xludf.DUMMYFUNCTION("GOOGLETRANSLATE(B87, ""en"", ""vi"")"),"Câu lạc bộ gỗ")</f>
        <v>Câu lạc bộ gỗ</v>
      </c>
      <c r="L87" s="26" t="str">
        <f ca="1">IFERROR(__xludf.DUMMYFUNCTION("GOOGLETRANSLATE(B87, ""en"", ""hr"")"),"Drveni klub")</f>
        <v>Drveni klub</v>
      </c>
      <c r="M87" s="28"/>
      <c r="N87" s="28"/>
      <c r="O87" s="28"/>
      <c r="P87" s="28"/>
      <c r="Q87" s="28"/>
      <c r="R87" s="28"/>
      <c r="S87" s="28"/>
      <c r="T87" s="28"/>
      <c r="U87" s="28"/>
      <c r="V87" s="28"/>
      <c r="W87" s="28"/>
      <c r="X87" s="28"/>
      <c r="Y87" s="28"/>
      <c r="Z87" s="28"/>
      <c r="AA87" s="28"/>
      <c r="AB87" s="28"/>
    </row>
    <row r="88" spans="1:28" ht="56" x14ac:dyDescent="0.15">
      <c r="A88" s="21" t="s">
        <v>555</v>
      </c>
      <c r="B88" s="22" t="s">
        <v>556</v>
      </c>
      <c r="C88" s="23" t="str">
        <f ca="1">IFERROR(__xludf.DUMMYFUNCTION("GOOGLETRANSLATE(B88, ""en"", ""fr"")"),"Un gros bâton pour frapper des choses avec. Mieux que rien...")</f>
        <v>Un gros bâton pour frapper des choses avec. Mieux que rien...</v>
      </c>
      <c r="D88" s="23" t="str">
        <f ca="1">IFERROR(__xludf.DUMMYFUNCTION("GOOGLETRANSLATE(B88, ""en"", ""es"")"),"Un gran palo para golpear las cosas. Mejor que nada...")</f>
        <v>Un gran palo para golpear las cosas. Mejor que nada...</v>
      </c>
      <c r="E88" s="23" t="str">
        <f ca="1">IFERROR(__xludf.DUMMYFUNCTION("GOOGLETRANSLATE(B88, ""en"", ""ru"")"),"Большая палка, чтобы поразить вещи с. Лучше чем ничего...")</f>
        <v>Большая палка, чтобы поразить вещи с. Лучше чем ничего...</v>
      </c>
      <c r="F88" s="23" t="str">
        <f ca="1">IFERROR(__xludf.DUMMYFUNCTION("GOOGLETRANSLATE(B88, ""en"", ""tr"")"),"Bir şeyleri vurmak için büyük bir sopa. Hiç yoktan iyidir...")</f>
        <v>Bir şeyleri vurmak için büyük bir sopa. Hiç yoktan iyidir...</v>
      </c>
      <c r="G88" s="23" t="str">
        <f ca="1">IFERROR(__xludf.DUMMYFUNCTION("GOOGLETRANSLATE(B88, ""en"", ""pt"")"),"Um grande bastão para bater as coisas com. Melhor que nada...")</f>
        <v>Um grande bastão para bater as coisas com. Melhor que nada...</v>
      </c>
      <c r="H88" s="24" t="str">
        <f ca="1">IFERROR(__xludf.DUMMYFUNCTION("GOOGLETRANSLATE(B88, ""en"", ""de"")"),"Ein großer Stock, um Dinge mitzumachen. Besser als nichts...")</f>
        <v>Ein großer Stock, um Dinge mitzumachen. Besser als nichts...</v>
      </c>
      <c r="I88" s="23" t="str">
        <f ca="1">IFERROR(__xludf.DUMMYFUNCTION("GOOGLETRANSLATE(B88, ""en"", ""pl"")"),"Duży kij uderzył w rzeczy. Lepsze niż nic...")</f>
        <v>Duży kij uderzył w rzeczy. Lepsze niż nic...</v>
      </c>
      <c r="J88" s="25" t="str">
        <f ca="1">IFERROR(__xludf.DUMMYFUNCTION("GOOGLETRANSLATE(B88, ""en"", ""zh"")"),"一个大棍子击中东西。有总比没有好...")</f>
        <v>一个大棍子击中东西。有总比没有好...</v>
      </c>
      <c r="K88" s="25" t="str">
        <f ca="1">IFERROR(__xludf.DUMMYFUNCTION("GOOGLETRANSLATE(B88, ""en"", ""vi"")"),"Một cây gậy lớn để đánh những thứ với. Có còn hơn không...")</f>
        <v>Một cây gậy lớn để đánh những thứ với. Có còn hơn không...</v>
      </c>
      <c r="L88" s="26" t="str">
        <f ca="1">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spans="1:28" ht="14" x14ac:dyDescent="0.15">
      <c r="A89" s="21" t="s">
        <v>557</v>
      </c>
      <c r="B89" s="22" t="s">
        <v>558</v>
      </c>
      <c r="C89" s="23" t="str">
        <f ca="1">IFERROR(__xludf.DUMMYFUNCTION("GOOGLETRANSLATE(B89, ""en"", ""fr"")"),"Hache d'os")</f>
        <v>Hache d'os</v>
      </c>
      <c r="D89" s="23" t="str">
        <f ca="1">IFERROR(__xludf.DUMMYFUNCTION("GOOGLETRANSLATE(B89, ""en"", ""es"")"),"Hacha de huesos")</f>
        <v>Hacha de huesos</v>
      </c>
      <c r="E89" s="23" t="str">
        <f ca="1">IFERROR(__xludf.DUMMYFUNCTION("GOOGLETRANSLATE(B89, ""en"", ""ru"")"),"Костяный топорик")</f>
        <v>Костяный топорик</v>
      </c>
      <c r="F89" s="23" t="str">
        <f ca="1">IFERROR(__xludf.DUMMYFUNCTION("GOOGLETRANSLATE(B89, ""en"", ""tr"")"),"Kemik balığı")</f>
        <v>Kemik balığı</v>
      </c>
      <c r="G89" s="23" t="str">
        <f ca="1">IFERROR(__xludf.DUMMYFUNCTION("GOOGLETRANSLATE(B89, ""en"", ""pt"")"),"Machadinha óssea.")</f>
        <v>Machadinha óssea.</v>
      </c>
      <c r="H89" s="24" t="str">
        <f ca="1">IFERROR(__xludf.DUMMYFUNCTION("GOOGLETRANSLATE(B89, ""en"", ""de"")"),"Knochenhoch")</f>
        <v>Knochenhoch</v>
      </c>
      <c r="I89" s="23" t="str">
        <f ca="1">IFERROR(__xludf.DUMMYFUNCTION("GOOGLETRANSLATE(B89, ""en"", ""pl"")"),"Hatchet kości")</f>
        <v>Hatchet kości</v>
      </c>
      <c r="J89" s="25" t="str">
        <f ca="1">IFERROR(__xludf.DUMMYFUNCTION("GOOGLETRANSLATE(B89, ""en"", ""zh"")"),"骨斧")</f>
        <v>骨斧</v>
      </c>
      <c r="K89" s="25" t="str">
        <f ca="1">IFERROR(__xludf.DUMMYFUNCTION("GOOGLETRANSLATE(B89, ""en"", ""vi"")"),"Xương hatchet.")</f>
        <v>Xương hatchet.</v>
      </c>
      <c r="L89" s="26" t="str">
        <f ca="1">IFERROR(__xludf.DUMMYFUNCTION("GOOGLETRANSLATE(B89, ""en"", ""hr"")"),"Kosti sjekira")</f>
        <v>Kosti sjekira</v>
      </c>
      <c r="M89" s="28"/>
      <c r="N89" s="28"/>
      <c r="O89" s="28"/>
      <c r="P89" s="28"/>
      <c r="Q89" s="28"/>
      <c r="R89" s="28"/>
      <c r="S89" s="28"/>
      <c r="T89" s="28"/>
      <c r="U89" s="28"/>
      <c r="V89" s="28"/>
      <c r="W89" s="28"/>
      <c r="X89" s="28"/>
      <c r="Y89" s="28"/>
      <c r="Z89" s="28"/>
      <c r="AA89" s="28"/>
      <c r="AB89" s="28"/>
    </row>
    <row r="90" spans="1:28" ht="42" x14ac:dyDescent="0.15">
      <c r="A90" s="21" t="s">
        <v>559</v>
      </c>
      <c r="B90" s="22" t="s">
        <v>560</v>
      </c>
      <c r="C90" s="23" t="str">
        <f ca="1">IFERROR(__xludf.DUMMYFUNCTION("GOOGLETRANSLATE(B90, ""en"", ""fr"")"),"Utilisé pour couper les arbres pour le bois.")</f>
        <v>Utilisé pour couper les arbres pour le bois.</v>
      </c>
      <c r="D90" s="23" t="str">
        <f ca="1">IFERROR(__xludf.DUMMYFUNCTION("GOOGLETRANSLATE(B90, ""en"", ""es"")"),"Se utiliza para cortar árboles para la madera.")</f>
        <v>Se utiliza para cortar árboles para la madera.</v>
      </c>
      <c r="E90" s="23" t="str">
        <f ca="1">IFERROR(__xludf.DUMMYFUNCTION("GOOGLETRANSLATE(B90, ""en"", ""ru"")"),"Используется для измельчения деревьев для дерева.")</f>
        <v>Используется для измельчения деревьев для дерева.</v>
      </c>
      <c r="F90" s="23" t="str">
        <f ca="1">IFERROR(__xludf.DUMMYFUNCTION("GOOGLETRANSLATE(B90, ""en"", ""tr"")"),"Ağaçları ahşap için kesmek için kullanılır.")</f>
        <v>Ağaçları ahşap için kesmek için kullanılır.</v>
      </c>
      <c r="G90" s="23" t="str">
        <f ca="1">IFERROR(__xludf.DUMMYFUNCTION("GOOGLETRANSLATE(B90, ""en"", ""pt"")"),"Usado para cortar árvores para madeira.")</f>
        <v>Usado para cortar árvores para madeira.</v>
      </c>
      <c r="H90" s="24" t="str">
        <f ca="1">IFERROR(__xludf.DUMMYFUNCTION("GOOGLETRANSLATE(B90, ""en"", ""de"")"),"Verwendet, um Bäume für Holz zu hacken.")</f>
        <v>Verwendet, um Bäume für Holz zu hacken.</v>
      </c>
      <c r="I90" s="23" t="str">
        <f ca="1">IFERROR(__xludf.DUMMYFUNCTION("GOOGLETRANSLATE(B90, ""en"", ""pl"")"),"Służy do spięcia drzew do drewna.")</f>
        <v>Służy do spięcia drzew do drewna.</v>
      </c>
      <c r="J90" s="25" t="str">
        <f ca="1">IFERROR(__xludf.DUMMYFUNCTION("GOOGLETRANSLATE(B90, ""en"", ""zh"")"),"用来砍伐树木的树木。")</f>
        <v>用来砍伐树木的树木。</v>
      </c>
      <c r="K90" s="25" t="str">
        <f ca="1">IFERROR(__xludf.DUMMYFUNCTION("GOOGLETRANSLATE(B90, ""en"", ""vi"")"),"Dùng để chặt cây cho gỗ.")</f>
        <v>Dùng để chặt cây cho gỗ.</v>
      </c>
      <c r="L90" s="26" t="str">
        <f ca="1">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spans="1:28" ht="14" x14ac:dyDescent="0.15">
      <c r="A91" s="21" t="s">
        <v>561</v>
      </c>
      <c r="B91" s="22" t="s">
        <v>562</v>
      </c>
      <c r="C91" s="23" t="str">
        <f ca="1">IFERROR(__xludf.DUMMYFUNCTION("GOOGLETRANSLATE(B91, ""en"", ""fr"")"),"Pioche d'os")</f>
        <v>Pioche d'os</v>
      </c>
      <c r="D91" s="23" t="str">
        <f ca="1">IFERROR(__xludf.DUMMYFUNCTION("GOOGLETRANSLATE(B91, ""en"", ""es"")"),"Piqueta")</f>
        <v>Piqueta</v>
      </c>
      <c r="E91" s="23" t="str">
        <f ca="1">IFERROR(__xludf.DUMMYFUNCTION("GOOGLETRANSLATE(B91, ""en"", ""ru"")"),"Костяная пикакс")</f>
        <v>Костяная пикакс</v>
      </c>
      <c r="F91" s="23" t="str">
        <f ca="1">IFERROR(__xludf.DUMMYFUNCTION("GOOGLETRANSLATE(B91, ""en"", ""tr"")"),"Kemik kazakı")</f>
        <v>Kemik kazakı</v>
      </c>
      <c r="G91" s="23" t="str">
        <f ca="1">IFERROR(__xludf.DUMMYFUNCTION("GOOGLETRANSLATE(B91, ""en"", ""pt"")"),"Picareta de osso")</f>
        <v>Picareta de osso</v>
      </c>
      <c r="H91" s="24" t="str">
        <f ca="1">IFERROR(__xludf.DUMMYFUNCTION("GOOGLETRANSLATE(B91, ""en"", ""de"")"),"Knochenabnehmer")</f>
        <v>Knochenabnehmer</v>
      </c>
      <c r="I91" s="23" t="str">
        <f ca="1">IFERROR(__xludf.DUMMYFUNCTION("GOOGLETRANSLATE(B91, ""en"", ""pl"")"),"Kość kilof")</f>
        <v>Kość kilof</v>
      </c>
      <c r="J91" s="25" t="str">
        <f ca="1">IFERROR(__xludf.DUMMYFUNCTION("GOOGLETRANSLATE(B91, ""en"", ""zh"")"),"骨镐")</f>
        <v>骨镐</v>
      </c>
      <c r="K91" s="25" t="str">
        <f ca="1">IFERROR(__xludf.DUMMYFUNCTION("GOOGLETRANSLATE(B91, ""en"", ""vi"")"),"Pickaxe xương.")</f>
        <v>Pickaxe xương.</v>
      </c>
      <c r="L91" s="26" t="str">
        <f ca="1">IFERROR(__xludf.DUMMYFUNCTION("GOOGLETRANSLATE(B91, ""en"", ""hr"")"),"Kost pijesak")</f>
        <v>Kost pijesak</v>
      </c>
      <c r="M91" s="28"/>
      <c r="N91" s="28"/>
      <c r="O91" s="28"/>
      <c r="P91" s="28"/>
      <c r="Q91" s="28"/>
      <c r="R91" s="28"/>
      <c r="S91" s="28"/>
      <c r="T91" s="28"/>
      <c r="U91" s="28"/>
      <c r="V91" s="28"/>
      <c r="W91" s="28"/>
      <c r="X91" s="28"/>
      <c r="Y91" s="28"/>
      <c r="Z91" s="28"/>
      <c r="AA91" s="28"/>
      <c r="AB91" s="28"/>
    </row>
    <row r="92" spans="1:28" ht="28" x14ac:dyDescent="0.15">
      <c r="A92" s="21" t="s">
        <v>563</v>
      </c>
      <c r="B92" s="22" t="s">
        <v>564</v>
      </c>
      <c r="C92" s="23" t="str">
        <f ca="1">IFERROR(__xludf.DUMMYFUNCTION("GOOGLETRANSLATE(B92, ""en"", ""fr"")"),"Utilisé pour mine rochers pour minerai.")</f>
        <v>Utilisé pour mine rochers pour minerai.</v>
      </c>
      <c r="D92" s="23" t="str">
        <f ca="1">IFERROR(__xludf.DUMMYFUNCTION("GOOGLETRANSLATE(B92, ""en"", ""es"")"),"Acostumbrado a minar rocas para mineral.")</f>
        <v>Acostumbrado a minar rocas para mineral.</v>
      </c>
      <c r="E92" s="23" t="str">
        <f ca="1">IFERROR(__xludf.DUMMYFUNCTION("GOOGLETRANSLATE(B92, ""en"", ""ru"")"),"Используется для моих скал для руды.")</f>
        <v>Используется для моих скал для руды.</v>
      </c>
      <c r="F92" s="23" t="str">
        <f ca="1">IFERROR(__xludf.DUMMYFUNCTION("GOOGLETRANSLATE(B92, ""en"", ""tr"")"),"Cevher için kayalar için kullanılır.")</f>
        <v>Cevher için kayalar için kullanılır.</v>
      </c>
      <c r="G92" s="23" t="str">
        <f ca="1">IFERROR(__xludf.DUMMYFUNCTION("GOOGLETRANSLATE(B92, ""en"", ""pt"")"),"Usado para minerar pedras para minério.")</f>
        <v>Usado para minerar pedras para minério.</v>
      </c>
      <c r="H92" s="24" t="str">
        <f ca="1">IFERROR(__xludf.DUMMYFUNCTION("GOOGLETRANSLATE(B92, ""en"", ""de"")"),"Verwendet, um Felsen für Erz zu gestalten.")</f>
        <v>Verwendet, um Felsen für Erz zu gestalten.</v>
      </c>
      <c r="I92" s="23" t="str">
        <f ca="1">IFERROR(__xludf.DUMMYFUNCTION("GOOGLETRANSLATE(B92, ""en"", ""pl"")"),"Używane do moich skał dla rudy.")</f>
        <v>Używane do moich skał dla rudy.</v>
      </c>
      <c r="J92" s="25" t="str">
        <f ca="1">IFERROR(__xludf.DUMMYFUNCTION("GOOGLETRANSLATE(B92, ""en"", ""zh"")"),"用于挖掘矿石的岩石。")</f>
        <v>用于挖掘矿石的岩石。</v>
      </c>
      <c r="K92" s="25" t="str">
        <f ca="1">IFERROR(__xludf.DUMMYFUNCTION("GOOGLETRANSLATE(B92, ""en"", ""vi"")"),"Được sử dụng để khai thác đá cho quặng.")</f>
        <v>Được sử dụng để khai thác đá cho quặng.</v>
      </c>
      <c r="L92" s="26" t="str">
        <f ca="1">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spans="1:28" ht="14" x14ac:dyDescent="0.15">
      <c r="A93" s="21" t="s">
        <v>565</v>
      </c>
      <c r="B93" s="22" t="s">
        <v>566</v>
      </c>
      <c r="C93" s="23" t="str">
        <f ca="1">IFERROR(__xludf.DUMMYFUNCTION("GOOGLETRANSLATE(B93, ""en"", ""fr"")"),"Hachette de fer")</f>
        <v>Hachette de fer</v>
      </c>
      <c r="D93" s="23" t="str">
        <f ca="1">IFERROR(__xludf.DUMMYFUNCTION("GOOGLETRANSLATE(B93, ""en"", ""es"")"),"Hacha de hierro")</f>
        <v>Hacha de hierro</v>
      </c>
      <c r="E93" s="23" t="str">
        <f ca="1">IFERROR(__xludf.DUMMYFUNCTION("GOOGLETRANSLATE(B93, ""en"", ""ru"")"),"Железный топорик")</f>
        <v>Железный топорик</v>
      </c>
      <c r="F93" s="23" t="str">
        <f ca="1">IFERROR(__xludf.DUMMYFUNCTION("GOOGLETRANSLATE(B93, ""en"", ""tr"")"),"Demir balta")</f>
        <v>Demir balta</v>
      </c>
      <c r="G93" s="23" t="str">
        <f ca="1">IFERROR(__xludf.DUMMYFUNCTION("GOOGLETRANSLATE(B93, ""en"", ""pt"")"),"Machadinha de ferro.")</f>
        <v>Machadinha de ferro.</v>
      </c>
      <c r="H93" s="24" t="str">
        <f ca="1">IFERROR(__xludf.DUMMYFUNCTION("GOOGLETRANSLATE(B93, ""en"", ""de"")"),"Eisenheilget")</f>
        <v>Eisenheilget</v>
      </c>
      <c r="I93" s="23" t="str">
        <f ca="1">IFERROR(__xludf.DUMMYFUNCTION("GOOGLETRANSLATE(B93, ""en"", ""pl"")"),"Iron Hatchet.")</f>
        <v>Iron Hatchet.</v>
      </c>
      <c r="J93" s="25" t="str">
        <f ca="1">IFERROR(__xludf.DUMMYFUNCTION("GOOGLETRANSLATE(B93, ""en"", ""zh"")"),"铁斧")</f>
        <v>铁斧</v>
      </c>
      <c r="K93" s="25" t="str">
        <f ca="1">IFERROR(__xludf.DUMMYFUNCTION("GOOGLETRANSLATE(B93, ""en"", ""vi"")"),"Iron hatchet.")</f>
        <v>Iron hatchet.</v>
      </c>
      <c r="L93" s="26" t="str">
        <f ca="1">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spans="1:28" ht="42" x14ac:dyDescent="0.15">
      <c r="A94" s="21" t="s">
        <v>567</v>
      </c>
      <c r="B94" s="22" t="s">
        <v>560</v>
      </c>
      <c r="C94" s="23" t="str">
        <f ca="1">IFERROR(__xludf.DUMMYFUNCTION("GOOGLETRANSLATE(B94, ""en"", ""fr"")"),"Utilisé pour couper les arbres pour le bois.")</f>
        <v>Utilisé pour couper les arbres pour le bois.</v>
      </c>
      <c r="D94" s="23" t="str">
        <f ca="1">IFERROR(__xludf.DUMMYFUNCTION("GOOGLETRANSLATE(B94, ""en"", ""es"")"),"Se utiliza para cortar árboles para la madera.")</f>
        <v>Se utiliza para cortar árboles para la madera.</v>
      </c>
      <c r="E94" s="23" t="str">
        <f ca="1">IFERROR(__xludf.DUMMYFUNCTION("GOOGLETRANSLATE(B94, ""en"", ""ru"")"),"Используется для измельчения деревьев для дерева.")</f>
        <v>Используется для измельчения деревьев для дерева.</v>
      </c>
      <c r="F94" s="23" t="str">
        <f ca="1">IFERROR(__xludf.DUMMYFUNCTION("GOOGLETRANSLATE(B94, ""en"", ""tr"")"),"Ağaçları ahşap için kesmek için kullanılır.")</f>
        <v>Ağaçları ahşap için kesmek için kullanılır.</v>
      </c>
      <c r="G94" s="23" t="str">
        <f ca="1">IFERROR(__xludf.DUMMYFUNCTION("GOOGLETRANSLATE(B94, ""en"", ""pt"")"),"Usado para cortar árvores para madeira.")</f>
        <v>Usado para cortar árvores para madeira.</v>
      </c>
      <c r="H94" s="24" t="str">
        <f ca="1">IFERROR(__xludf.DUMMYFUNCTION("GOOGLETRANSLATE(B94, ""en"", ""de"")"),"Verwendet, um Bäume für Holz zu hacken.")</f>
        <v>Verwendet, um Bäume für Holz zu hacken.</v>
      </c>
      <c r="I94" s="23" t="str">
        <f ca="1">IFERROR(__xludf.DUMMYFUNCTION("GOOGLETRANSLATE(B94, ""en"", ""pl"")"),"Służy do spięcia drzew do drewna.")</f>
        <v>Służy do spięcia drzew do drewna.</v>
      </c>
      <c r="J94" s="25" t="str">
        <f ca="1">IFERROR(__xludf.DUMMYFUNCTION("GOOGLETRANSLATE(B94, ""en"", ""zh"")"),"用来砍伐树木的树木。")</f>
        <v>用来砍伐树木的树木。</v>
      </c>
      <c r="K94" s="25" t="str">
        <f ca="1">IFERROR(__xludf.DUMMYFUNCTION("GOOGLETRANSLATE(B94, ""en"", ""vi"")"),"Dùng để chặt cây cho gỗ.")</f>
        <v>Dùng để chặt cây cho gỗ.</v>
      </c>
      <c r="L94" s="26" t="str">
        <f ca="1">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spans="1:28" ht="14" x14ac:dyDescent="0.15">
      <c r="A95" s="21" t="s">
        <v>568</v>
      </c>
      <c r="B95" s="22" t="s">
        <v>569</v>
      </c>
      <c r="C95" s="23" t="str">
        <f ca="1">IFERROR(__xludf.DUMMYFUNCTION("GOOGLETRANSLATE(B95, ""en"", ""fr"")"),"Pioche de fer")</f>
        <v>Pioche de fer</v>
      </c>
      <c r="D95" s="23" t="str">
        <f ca="1">IFERROR(__xludf.DUMMYFUNCTION("GOOGLETRANSLATE(B95, ""en"", ""es"")"),"Piqueta de hierro")</f>
        <v>Piqueta de hierro</v>
      </c>
      <c r="E95" s="23" t="str">
        <f ca="1">IFERROR(__xludf.DUMMYFUNCTION("GOOGLETRANSLATE(B95, ""en"", ""ru"")"),"Железный пикарь")</f>
        <v>Железный пикарь</v>
      </c>
      <c r="F95" s="23" t="str">
        <f ca="1">IFERROR(__xludf.DUMMYFUNCTION("GOOGLETRANSLATE(B95, ""en"", ""tr"")"),"Demir kazma")</f>
        <v>Demir kazma</v>
      </c>
      <c r="G95" s="23" t="str">
        <f ca="1">IFERROR(__xludf.DUMMYFUNCTION("GOOGLETRANSLATE(B95, ""en"", ""pt"")"),"Pickaxe de ferro")</f>
        <v>Pickaxe de ferro</v>
      </c>
      <c r="H95" s="24" t="str">
        <f ca="1">IFERROR(__xludf.DUMMYFUNCTION("GOOGLETRANSLATE(B95, ""en"", ""de"")"),"Eisen-Spitzhacke.")</f>
        <v>Eisen-Spitzhacke.</v>
      </c>
      <c r="I95" s="23" t="str">
        <f ca="1">IFERROR(__xludf.DUMMYFUNCTION("GOOGLETRANSLATE(B95, ""en"", ""pl"")"),"Żelazny kilof")</f>
        <v>Żelazny kilof</v>
      </c>
      <c r="J95" s="25" t="str">
        <f ca="1">IFERROR(__xludf.DUMMYFUNCTION("GOOGLETRANSLATE(B95, ""en"", ""zh"")"),"铁镐")</f>
        <v>铁镐</v>
      </c>
      <c r="K95" s="25" t="str">
        <f ca="1">IFERROR(__xludf.DUMMYFUNCTION("GOOGLETRANSLATE(B95, ""en"", ""vi"")"),"Iron Pickaxe.")</f>
        <v>Iron Pickaxe.</v>
      </c>
      <c r="L95" s="26" t="str">
        <f ca="1">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spans="1:28" ht="28" x14ac:dyDescent="0.15">
      <c r="A96" s="21" t="s">
        <v>570</v>
      </c>
      <c r="B96" s="22" t="s">
        <v>564</v>
      </c>
      <c r="C96" s="23" t="str">
        <f ca="1">IFERROR(__xludf.DUMMYFUNCTION("GOOGLETRANSLATE(B96, ""en"", ""fr"")"),"Utilisé pour mine rochers pour minerai.")</f>
        <v>Utilisé pour mine rochers pour minerai.</v>
      </c>
      <c r="D96" s="23" t="str">
        <f ca="1">IFERROR(__xludf.DUMMYFUNCTION("GOOGLETRANSLATE(B96, ""en"", ""es"")"),"Acostumbrado a minar rocas para mineral.")</f>
        <v>Acostumbrado a minar rocas para mineral.</v>
      </c>
      <c r="E96" s="23" t="str">
        <f ca="1">IFERROR(__xludf.DUMMYFUNCTION("GOOGLETRANSLATE(B96, ""en"", ""ru"")"),"Используется для моих скал для руды.")</f>
        <v>Используется для моих скал для руды.</v>
      </c>
      <c r="F96" s="23" t="str">
        <f ca="1">IFERROR(__xludf.DUMMYFUNCTION("GOOGLETRANSLATE(B96, ""en"", ""tr"")"),"Cevher için kayalar için kullanılır.")</f>
        <v>Cevher için kayalar için kullanılır.</v>
      </c>
      <c r="G96" s="23" t="str">
        <f ca="1">IFERROR(__xludf.DUMMYFUNCTION("GOOGLETRANSLATE(B96, ""en"", ""pt"")"),"Usado para minerar pedras para minério.")</f>
        <v>Usado para minerar pedras para minério.</v>
      </c>
      <c r="H96" s="24" t="str">
        <f ca="1">IFERROR(__xludf.DUMMYFUNCTION("GOOGLETRANSLATE(B96, ""en"", ""de"")"),"Verwendet, um Felsen für Erz zu gestalten.")</f>
        <v>Verwendet, um Felsen für Erz zu gestalten.</v>
      </c>
      <c r="I96" s="23" t="str">
        <f ca="1">IFERROR(__xludf.DUMMYFUNCTION("GOOGLETRANSLATE(B96, ""en"", ""pl"")"),"Używane do moich skał dla rudy.")</f>
        <v>Używane do moich skał dla rudy.</v>
      </c>
      <c r="J96" s="25" t="str">
        <f ca="1">IFERROR(__xludf.DUMMYFUNCTION("GOOGLETRANSLATE(B96, ""en"", ""zh"")"),"用于挖掘矿石的岩石。")</f>
        <v>用于挖掘矿石的岩石。</v>
      </c>
      <c r="K96" s="25" t="str">
        <f ca="1">IFERROR(__xludf.DUMMYFUNCTION("GOOGLETRANSLATE(B96, ""en"", ""vi"")"),"Được sử dụng để khai thác đá cho quặng.")</f>
        <v>Được sử dụng để khai thác đá cho quặng.</v>
      </c>
      <c r="L96" s="26" t="str">
        <f ca="1">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spans="1:28" ht="14" x14ac:dyDescent="0.15">
      <c r="A97" s="21" t="s">
        <v>571</v>
      </c>
      <c r="B97" s="22" t="s">
        <v>572</v>
      </c>
      <c r="C97" s="23" t="str">
        <f ca="1">IFERROR(__xludf.DUMMYFUNCTION("GOOGLETRANSLATE(B97, ""en"", ""fr"")"),"Faucille de fer")</f>
        <v>Faucille de fer</v>
      </c>
      <c r="D97" s="23" t="str">
        <f ca="1">IFERROR(__xludf.DUMMYFUNCTION("GOOGLETRANSLATE(B97, ""en"", ""es"")"),"Falsedad de hierro")</f>
        <v>Falsedad de hierro</v>
      </c>
      <c r="E97" s="23" t="str">
        <f ca="1">IFERROR(__xludf.DUMMYFUNCTION("GOOGLETRANSLATE(B97, ""en"", ""ru"")"),"Железный серп")</f>
        <v>Железный серп</v>
      </c>
      <c r="F97" s="23" t="str">
        <f ca="1">IFERROR(__xludf.DUMMYFUNCTION("GOOGLETRANSLATE(B97, ""en"", ""tr"")"),"Orak")</f>
        <v>Orak</v>
      </c>
      <c r="G97" s="23" t="str">
        <f ca="1">IFERROR(__xludf.DUMMYFUNCTION("GOOGLETRANSLATE(B97, ""en"", ""pt"")"),"Foice de ferro")</f>
        <v>Foice de ferro</v>
      </c>
      <c r="H97" s="24" t="str">
        <f ca="1">IFERROR(__xludf.DUMMYFUNCTION("GOOGLETRANSLATE(B97, ""en"", ""de"")"),"Eisenckel")</f>
        <v>Eisenckel</v>
      </c>
      <c r="I97" s="23" t="str">
        <f ca="1">IFERROR(__xludf.DUMMYFUNCTION("GOOGLETRANSLATE(B97, ""en"", ""pl"")"),"Żelazny sierp")</f>
        <v>Żelazny sierp</v>
      </c>
      <c r="J97" s="25" t="str">
        <f ca="1">IFERROR(__xludf.DUMMYFUNCTION("GOOGLETRANSLATE(B97, ""en"", ""zh"")"),"铁镰刀")</f>
        <v>铁镰刀</v>
      </c>
      <c r="K97" s="25" t="str">
        <f ca="1">IFERROR(__xludf.DUMMYFUNCTION("GOOGLETRANSLATE(B97, ""en"", ""vi"")"),"Sắt liềm")</f>
        <v>Sắt liềm</v>
      </c>
      <c r="L97" s="26" t="str">
        <f ca="1">IFERROR(__xludf.DUMMYFUNCTION("GOOGLETRANSLATE(B97, ""en"", ""hr"")"),"Željezni srp")</f>
        <v>Željezni srp</v>
      </c>
      <c r="M97" s="28"/>
      <c r="N97" s="28"/>
      <c r="O97" s="28"/>
      <c r="P97" s="28"/>
      <c r="Q97" s="28"/>
      <c r="R97" s="28"/>
      <c r="S97" s="28"/>
      <c r="T97" s="28"/>
      <c r="U97" s="28"/>
      <c r="V97" s="28"/>
      <c r="W97" s="28"/>
      <c r="X97" s="28"/>
      <c r="Y97" s="28"/>
      <c r="Z97" s="28"/>
      <c r="AA97" s="28"/>
      <c r="AB97" s="28"/>
    </row>
    <row r="98" spans="1:28" ht="28" x14ac:dyDescent="0.15">
      <c r="A98" s="21" t="s">
        <v>573</v>
      </c>
      <c r="B98" s="22" t="s">
        <v>574</v>
      </c>
      <c r="C98" s="23" t="str">
        <f ca="1">IFERROR(__xludf.DUMMYFUNCTION("GOOGLETRANSLATE(B98, ""en"", ""fr"")"),"Utilisé pour recueillir des plantes.")</f>
        <v>Utilisé pour recueillir des plantes.</v>
      </c>
      <c r="D98" s="23" t="str">
        <f ca="1">IFERROR(__xludf.DUMMYFUNCTION("GOOGLETRANSLATE(B98, ""en"", ""es"")"),"Se utiliza para recoger plantas.")</f>
        <v>Se utiliza para recoger plantas.</v>
      </c>
      <c r="E98" s="23" t="str">
        <f ca="1">IFERROR(__xludf.DUMMYFUNCTION("GOOGLETRANSLATE(B98, ""en"", ""ru"")"),"Используется для собрания растений.")</f>
        <v>Используется для собрания растений.</v>
      </c>
      <c r="F98" s="23" t="str">
        <f ca="1">IFERROR(__xludf.DUMMYFUNCTION("GOOGLETRANSLATE(B98, ""en"", ""tr"")"),"Bitkileri toplamak için kullanılır.")</f>
        <v>Bitkileri toplamak için kullanılır.</v>
      </c>
      <c r="G98" s="23" t="str">
        <f ca="1">IFERROR(__xludf.DUMMYFUNCTION("GOOGLETRANSLATE(B98, ""en"", ""pt"")"),"Usado para reunir plantas.")</f>
        <v>Usado para reunir plantas.</v>
      </c>
      <c r="H98" s="24" t="str">
        <f ca="1">IFERROR(__xludf.DUMMYFUNCTION("GOOGLETRANSLATE(B98, ""en"", ""de"")"),"Verwendet, um Pflanzen zu sammeln.")</f>
        <v>Verwendet, um Pflanzen zu sammeln.</v>
      </c>
      <c r="I98" s="23" t="str">
        <f ca="1">IFERROR(__xludf.DUMMYFUNCTION("GOOGLETRANSLATE(B98, ""en"", ""pl"")"),"Używane do zbierania roślin.")</f>
        <v>Używane do zbierania roślin.</v>
      </c>
      <c r="J98" s="25" t="str">
        <f ca="1">IFERROR(__xludf.DUMMYFUNCTION("GOOGLETRANSLATE(B98, ""en"", ""zh"")"),"用来收集植物。")</f>
        <v>用来收集植物。</v>
      </c>
      <c r="K98" s="25" t="str">
        <f ca="1">IFERROR(__xludf.DUMMYFUNCTION("GOOGLETRANSLATE(B98, ""en"", ""vi"")"),"Dùng để thu thập cây.")</f>
        <v>Dùng để thu thập cây.</v>
      </c>
      <c r="L98" s="26" t="str">
        <f ca="1">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spans="1:28" ht="14" x14ac:dyDescent="0.15">
      <c r="A99" s="21" t="s">
        <v>575</v>
      </c>
      <c r="B99" s="22" t="s">
        <v>576</v>
      </c>
      <c r="C99" s="23" t="str">
        <f ca="1">IFERROR(__xludf.DUMMYFUNCTION("GOOGLETRANSLATE(B99, ""en"", ""fr"")"),"Flèches de fer")</f>
        <v>Flèches de fer</v>
      </c>
      <c r="D99" s="23" t="str">
        <f ca="1">IFERROR(__xludf.DUMMYFUNCTION("GOOGLETRANSLATE(B99, ""en"", ""es"")"),"Flechas de hierro")</f>
        <v>Flechas de hierro</v>
      </c>
      <c r="E99" s="23" t="str">
        <f ca="1">IFERROR(__xludf.DUMMYFUNCTION("GOOGLETRANSLATE(B99, ""en"", ""ru"")"),"Железные стрелки")</f>
        <v>Железные стрелки</v>
      </c>
      <c r="F99" s="23" t="str">
        <f ca="1">IFERROR(__xludf.DUMMYFUNCTION("GOOGLETRANSLATE(B99, ""en"", ""tr"")"),"Demir oklar")</f>
        <v>Demir oklar</v>
      </c>
      <c r="G99" s="23" t="str">
        <f ca="1">IFERROR(__xludf.DUMMYFUNCTION("GOOGLETRANSLATE(B99, ""en"", ""pt"")"),"Flechas de ferro")</f>
        <v>Flechas de ferro</v>
      </c>
      <c r="H99" s="24" t="str">
        <f ca="1">IFERROR(__xludf.DUMMYFUNCTION("GOOGLETRANSLATE(B99, ""en"", ""de"")"),"Eisenpfeile")</f>
        <v>Eisenpfeile</v>
      </c>
      <c r="I99" s="23" t="str">
        <f ca="1">IFERROR(__xludf.DUMMYFUNCTION("GOOGLETRANSLATE(B99, ""en"", ""pl"")"),"Żelazne strzały")</f>
        <v>Żelazne strzały</v>
      </c>
      <c r="J99" s="25" t="str">
        <f ca="1">IFERROR(__xludf.DUMMYFUNCTION("GOOGLETRANSLATE(B99, ""en"", ""zh"")"),"铁箭头")</f>
        <v>铁箭头</v>
      </c>
      <c r="K99" s="25" t="str">
        <f ca="1">IFERROR(__xludf.DUMMYFUNCTION("GOOGLETRANSLATE(B99, ""en"", ""vi"")"),"Mũi tên sắt")</f>
        <v>Mũi tên sắt</v>
      </c>
      <c r="L99" s="26" t="str">
        <f ca="1">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spans="1:28" ht="42" x14ac:dyDescent="0.15">
      <c r="A100" s="21" t="s">
        <v>577</v>
      </c>
      <c r="B100" s="22" t="s">
        <v>578</v>
      </c>
      <c r="C100" s="23" t="str">
        <f ca="1">IFERROR(__xludf.DUMMYFUNCTION("GOOGLETRANSLATE(B100, ""en"", ""fr"")"),"Utilisé comme munition pour un arc.")</f>
        <v>Utilisé comme munition pour un arc.</v>
      </c>
      <c r="D100" s="23" t="str">
        <f ca="1">IFERROR(__xludf.DUMMYFUNCTION("GOOGLETRANSLATE(B100, ""en"", ""es"")"),"Utilizado como municiones para un arco.")</f>
        <v>Utilizado como municiones para un arco.</v>
      </c>
      <c r="E100" s="23" t="str">
        <f ca="1">IFERROR(__xludf.DUMMYFUNCTION("GOOGLETRANSLATE(B100, ""en"", ""ru"")"),"Используется в качестве боеприпасов для лука.")</f>
        <v>Используется в качестве боеприпасов для лука.</v>
      </c>
      <c r="F100" s="23" t="str">
        <f ca="1">IFERROR(__xludf.DUMMYFUNCTION("GOOGLETRANSLATE(B100, ""en"", ""tr"")"),"Bir yay için mühimmat olarak kullanılır.")</f>
        <v>Bir yay için mühimmat olarak kullanılır.</v>
      </c>
      <c r="G100" s="23" t="str">
        <f ca="1">IFERROR(__xludf.DUMMYFUNCTION("GOOGLETRANSLATE(B100, ""en"", ""pt"")"),"Usado como munição para um arco.")</f>
        <v>Usado como munição para um arco.</v>
      </c>
      <c r="H100" s="24" t="str">
        <f ca="1">IFERROR(__xludf.DUMMYFUNCTION("GOOGLETRANSLATE(B100, ""en"", ""de"")"),"Als Munition für einen Bogen verwendet.")</f>
        <v>Als Munition für einen Bogen verwendet.</v>
      </c>
      <c r="I100" s="23" t="str">
        <f ca="1">IFERROR(__xludf.DUMMYFUNCTION("GOOGLETRANSLATE(B100, ""en"", ""pl"")"),"Używany jako amunicja na łuk.")</f>
        <v>Używany jako amunicja na łuk.</v>
      </c>
      <c r="J100" s="25" t="str">
        <f ca="1">IFERROR(__xludf.DUMMYFUNCTION("GOOGLETRANSLATE(B100, ""en"", ""zh"")"),"用作弓的弹药。")</f>
        <v>用作弓的弹药。</v>
      </c>
      <c r="K100" s="25" t="str">
        <f ca="1">IFERROR(__xludf.DUMMYFUNCTION("GOOGLETRANSLATE(B100, ""en"", ""vi"")"),"Dùng làm đạn cho một cây cung.")</f>
        <v>Dùng làm đạn cho một cây cung.</v>
      </c>
      <c r="L100" s="26" t="str">
        <f ca="1">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spans="1:28" ht="14" x14ac:dyDescent="0.15">
      <c r="A101" s="21" t="s">
        <v>579</v>
      </c>
      <c r="B101" s="22" t="s">
        <v>580</v>
      </c>
      <c r="C101" s="23" t="str">
        <f ca="1">IFERROR(__xludf.DUMMYFUNCTION("GOOGLETRANSLATE(B101, ""en"", ""fr"")"),"Poignard de fer")</f>
        <v>Poignard de fer</v>
      </c>
      <c r="D101" s="23" t="str">
        <f ca="1">IFERROR(__xludf.DUMMYFUNCTION("GOOGLETRANSLATE(B101, ""en"", ""es"")"),"Daga de hierro")</f>
        <v>Daga de hierro</v>
      </c>
      <c r="E101" s="23" t="str">
        <f ca="1">IFERROR(__xludf.DUMMYFUNCTION("GOOGLETRANSLATE(B101, ""en"", ""ru"")"),"Железный кинжал")</f>
        <v>Железный кинжал</v>
      </c>
      <c r="F101" s="23" t="str">
        <f ca="1">IFERROR(__xludf.DUMMYFUNCTION("GOOGLETRANSLATE(B101, ""en"", ""tr"")"),"Demir hançer")</f>
        <v>Demir hançer</v>
      </c>
      <c r="G101" s="23" t="str">
        <f ca="1">IFERROR(__xludf.DUMMYFUNCTION("GOOGLETRANSLATE(B101, ""en"", ""pt"")"),"Punhal de ferro")</f>
        <v>Punhal de ferro</v>
      </c>
      <c r="H101" s="24" t="str">
        <f ca="1">IFERROR(__xludf.DUMMYFUNCTION("GOOGLETRANSLATE(B101, ""en"", ""de"")"),"Eisendolch")</f>
        <v>Eisendolch</v>
      </c>
      <c r="I101" s="23" t="str">
        <f ca="1">IFERROR(__xludf.DUMMYFUNCTION("GOOGLETRANSLATE(B101, ""en"", ""pl"")"),"Żelazny sztylet.")</f>
        <v>Żelazny sztylet.</v>
      </c>
      <c r="J101" s="25" t="str">
        <f ca="1">IFERROR(__xludf.DUMMYFUNCTION("GOOGLETRANSLATE(B101, ""en"", ""zh"")"),"铁匕首")</f>
        <v>铁匕首</v>
      </c>
      <c r="K101" s="25" t="str">
        <f ca="1">IFERROR(__xludf.DUMMYFUNCTION("GOOGLETRANSLATE(B101, ""en"", ""vi"")"),"Dagger sắt")</f>
        <v>Dagger sắt</v>
      </c>
      <c r="L101" s="26" t="str">
        <f ca="1">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spans="1:28" ht="70" x14ac:dyDescent="0.15">
      <c r="A102" s="21" t="s">
        <v>581</v>
      </c>
      <c r="B102" s="22" t="s">
        <v>582</v>
      </c>
      <c r="C102" s="23" t="str">
        <f ca="1">IFERROR(__xludf.DUMMYFUNCTION("GOOGLETRANSLATE(B102, ""en"", ""fr"")"),"Une arme de mêlée à courte portée. Traite des dégâts de bonus quand il frappe derrière lui.")</f>
        <v>Une arme de mêlée à courte portée. Traite des dégâts de bonus quand il frappe derrière lui.</v>
      </c>
      <c r="D102" s="23" t="str">
        <f ca="1">IFERROR(__xludf.DUMMYFUNCTION("GOOGLETRANSLATE(B102, ""en"", ""es"")"),"Un breve arma cuerpo a cuerpo. Ofrece daño de bonificación cuando llega por detrás.")</f>
        <v>Un breve arma cuerpo a cuerpo. Ofrece daño de bonificación cuando llega por detrás.</v>
      </c>
      <c r="E102" s="23" t="str">
        <f ca="1">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 ca="1">IFERROR(__xludf.DUMMYFUNCTION("GOOGLETRANSLATE(B102, ""en"", ""tr"")"),"Kısa menzilli bir yakın dövüş silahı. Arkadan isabet ettiğinde bonus hasarı fırsatlar.")</f>
        <v>Kısa menzilli bir yakın dövüş silahı. Arkadan isabet ettiğinde bonus hasarı fırsatlar.</v>
      </c>
      <c r="G102" s="23" t="str">
        <f ca="1">IFERROR(__xludf.DUMMYFUNCTION("GOOGLETRANSLATE(B102, ""en"", ""pt"")"),"Uma arma de corpo a corpo de curto alcance. Oferece dano de bônus quando atinge por trás.")</f>
        <v>Uma arma de corpo a corpo de curto alcance. Oferece dano de bônus quando atinge por trás.</v>
      </c>
      <c r="H102" s="24" t="str">
        <f ca="1">IFERROR(__xludf.DUMMYFUNCTION("GOOGLETRANSLATE(B102, ""en"", ""de"")"),"Eine kurze Reichweite-Nahkampfwaffe. Befasst sich mit Bonusschäden, wenn sie von hinten trifft.")</f>
        <v>Eine kurze Reichweite-Nahkampfwaffe. Befasst sich mit Bonusschäden, wenn sie von hinten trifft.</v>
      </c>
      <c r="I102" s="23" t="str">
        <f ca="1">IFERROR(__xludf.DUMMYFUNCTION("GOOGLETRANSLATE(B102, ""en"", ""pl"")"),"Broń wręcz broni. Oferty bonusowe uszkodzenia, gdy uderza od tyłu.")</f>
        <v>Broń wręcz broni. Oferty bonusowe uszkodzenia, gdy uderza od tyłu.</v>
      </c>
      <c r="J102" s="25" t="str">
        <f ca="1">IFERROR(__xludf.DUMMYFUNCTION("GOOGLETRANSLATE(B102, ""en"", ""zh"")"),"短程近战武器。从后面击中时造成奖金损坏。")</f>
        <v>短程近战武器。从后面击中时造成奖金损坏。</v>
      </c>
      <c r="K102" s="25" t="str">
        <f ca="1">IFERROR(__xludf.DUMMYFUNCTION("GOOGLETRANSLATE(B102, ""en"", ""vi"")"),"Một vũ khí cận chiến ngắn. Gây sát thương tiền thưởng khi nó đánh từ phía sau.")</f>
        <v>Một vũ khí cận chiến ngắn. Gây sát thương tiền thưởng khi nó đánh từ phía sau.</v>
      </c>
      <c r="L102" s="26" t="str">
        <f ca="1">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spans="1:28" ht="14" x14ac:dyDescent="0.15">
      <c r="A103" s="21" t="s">
        <v>583</v>
      </c>
      <c r="B103" s="22" t="s">
        <v>584</v>
      </c>
      <c r="C103" s="23" t="str">
        <f ca="1">IFERROR(__xludf.DUMMYFUNCTION("GOOGLETRANSLATE(B103, ""en"", ""fr"")"),"Épée de fer")</f>
        <v>Épée de fer</v>
      </c>
      <c r="D103" s="23" t="str">
        <f ca="1">IFERROR(__xludf.DUMMYFUNCTION("GOOGLETRANSLATE(B103, ""en"", ""es"")"),"Espada de hierro")</f>
        <v>Espada de hierro</v>
      </c>
      <c r="E103" s="23" t="str">
        <f ca="1">IFERROR(__xludf.DUMMYFUNCTION("GOOGLETRANSLATE(B103, ""en"", ""ru"")"),"Железный меч")</f>
        <v>Железный меч</v>
      </c>
      <c r="F103" s="23" t="str">
        <f ca="1">IFERROR(__xludf.DUMMYFUNCTION("GOOGLETRANSLATE(B103, ""en"", ""tr"")"),"Demir kılıç")</f>
        <v>Demir kılıç</v>
      </c>
      <c r="G103" s="23" t="str">
        <f ca="1">IFERROR(__xludf.DUMMYFUNCTION("GOOGLETRANSLATE(B103, ""en"", ""pt"")"),"Espada de ferro")</f>
        <v>Espada de ferro</v>
      </c>
      <c r="H103" s="24" t="str">
        <f ca="1">IFERROR(__xludf.DUMMYFUNCTION("GOOGLETRANSLATE(B103, ""en"", ""de"")"),"Eisenschwert")</f>
        <v>Eisenschwert</v>
      </c>
      <c r="I103" s="23" t="str">
        <f ca="1">IFERROR(__xludf.DUMMYFUNCTION("GOOGLETRANSLATE(B103, ""en"", ""pl"")"),"Żelazny miecz")</f>
        <v>Żelazny miecz</v>
      </c>
      <c r="J103" s="25" t="str">
        <f ca="1">IFERROR(__xludf.DUMMYFUNCTION("GOOGLETRANSLATE(B103, ""en"", ""zh"")"),"铁剑")</f>
        <v>铁剑</v>
      </c>
      <c r="K103" s="25" t="str">
        <f ca="1">IFERROR(__xludf.DUMMYFUNCTION("GOOGLETRANSLATE(B103, ""en"", ""vi"")"),"Thanh kiếm sắt")</f>
        <v>Thanh kiếm sắt</v>
      </c>
      <c r="L103" s="26" t="str">
        <f ca="1">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spans="1:28" ht="70" x14ac:dyDescent="0.15">
      <c r="A104" s="21" t="s">
        <v>585</v>
      </c>
      <c r="B104" s="22" t="s">
        <v>586</v>
      </c>
      <c r="C104" s="23" t="str">
        <f ca="1">IFERROR(__xludf.DUMMYFUNCTION("GOOGLETRANSLATE(B104, ""en"", ""fr"")"),"Arme de mêlée. Utilisé pour attaquer une courte distance.")</f>
        <v>Arme de mêlée. Utilisé pour attaquer une courte distance.</v>
      </c>
      <c r="D104" s="23" t="str">
        <f ca="1">IFERROR(__xludf.DUMMYFUNCTION("GOOGLETRANSLATE(B104, ""en"", ""es"")"),"Arma cuerpo a cuerpo. Se utiliza para atacar a una corta distancia.")</f>
        <v>Arma cuerpo a cuerpo. Se utiliza para atacar a una corta distancia.</v>
      </c>
      <c r="E104" s="23" t="str">
        <f ca="1">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 ca="1">IFERROR(__xludf.DUMMYFUNCTION("GOOGLETRANSLATE(B104, ""en"", ""tr"")"),"Yakın dövüş silahı. Kısa bir mesafeye saldırmak için kullanılır.")</f>
        <v>Yakın dövüş silahı. Kısa bir mesafeye saldırmak için kullanılır.</v>
      </c>
      <c r="G104" s="23" t="str">
        <f ca="1">IFERROR(__xludf.DUMMYFUNCTION("GOOGLETRANSLATE(B104, ""en"", ""pt"")"),"Arma branca. Usado para atacar uma curta distância.")</f>
        <v>Arma branca. Usado para atacar uma curta distância.</v>
      </c>
      <c r="H104" s="24" t="str">
        <f ca="1">IFERROR(__xludf.DUMMYFUNCTION("GOOGLETRANSLATE(B104, ""en"", ""de"")"),"Nahkampfwaffe. Verwendet, um eine kurze Entfernung anzugreifen.")</f>
        <v>Nahkampfwaffe. Verwendet, um eine kurze Entfernung anzugreifen.</v>
      </c>
      <c r="I104" s="23" t="str">
        <f ca="1">IFERROR(__xludf.DUMMYFUNCTION("GOOGLETRANSLATE(B104, ""en"", ""pl"")"),"Broń biała. Używany do ataku w niewielkiej odległości.")</f>
        <v>Broń biała. Używany do ataku w niewielkiej odległości.</v>
      </c>
      <c r="J104" s="25" t="str">
        <f ca="1">IFERROR(__xludf.DUMMYFUNCTION("GOOGLETRANSLATE(B104, ""en"", ""zh"")"),"近战武器。用来攻击很短的距离。")</f>
        <v>近战武器。用来攻击很短的距离。</v>
      </c>
      <c r="K104" s="25" t="str">
        <f ca="1">IFERROR(__xludf.DUMMYFUNCTION("GOOGLETRANSLATE(B104, ""en"", ""vi"")"),"Vũ khí cận chiến. Được sử dụng để tấn công một khoảng cách ngắn đi.")</f>
        <v>Vũ khí cận chiến. Được sử dụng để tấn công một khoảng cách ngắn đi.</v>
      </c>
      <c r="L104" s="26" t="str">
        <f ca="1">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spans="1:28" ht="14" x14ac:dyDescent="0.15">
      <c r="A105" s="21" t="s">
        <v>587</v>
      </c>
      <c r="B105" s="22" t="s">
        <v>588</v>
      </c>
      <c r="C105" s="23" t="str">
        <f ca="1">IFERROR(__xludf.DUMMYFUNCTION("GOOGLETRANSLATE(B105, ""en"", ""fr"")"),"Marteau de fer")</f>
        <v>Marteau de fer</v>
      </c>
      <c r="D105" s="23" t="str">
        <f ca="1">IFERROR(__xludf.DUMMYFUNCTION("GOOGLETRANSLATE(B105, ""en"", ""es"")"),"Martillo de hierro")</f>
        <v>Martillo de hierro</v>
      </c>
      <c r="E105" s="23" t="str">
        <f ca="1">IFERROR(__xludf.DUMMYFUNCTION("GOOGLETRANSLATE(B105, ""en"", ""ru"")"),"Железный молоток")</f>
        <v>Железный молоток</v>
      </c>
      <c r="F105" s="23" t="str">
        <f ca="1">IFERROR(__xludf.DUMMYFUNCTION("GOOGLETRANSLATE(B105, ""en"", ""tr"")"),"Demir çekiç")</f>
        <v>Demir çekiç</v>
      </c>
      <c r="G105" s="23" t="str">
        <f ca="1">IFERROR(__xludf.DUMMYFUNCTION("GOOGLETRANSLATE(B105, ""en"", ""pt"")"),"Martelo de ferro")</f>
        <v>Martelo de ferro</v>
      </c>
      <c r="H105" s="24" t="str">
        <f ca="1">IFERROR(__xludf.DUMMYFUNCTION("GOOGLETRANSLATE(B105, ""en"", ""de"")"),"Eisenhammer")</f>
        <v>Eisenhammer</v>
      </c>
      <c r="I105" s="23" t="str">
        <f ca="1">IFERROR(__xludf.DUMMYFUNCTION("GOOGLETRANSLATE(B105, ""en"", ""pl"")"),"Żelazny młot")</f>
        <v>Żelazny młot</v>
      </c>
      <c r="J105" s="25" t="str">
        <f ca="1">IFERROR(__xludf.DUMMYFUNCTION("GOOGLETRANSLATE(B105, ""en"", ""zh"")"),"铁锤")</f>
        <v>铁锤</v>
      </c>
      <c r="K105" s="25" t="str">
        <f ca="1">IFERROR(__xludf.DUMMYFUNCTION("GOOGLETRANSLATE(B105, ""en"", ""vi"")"),"Búa sắt")</f>
        <v>Búa sắt</v>
      </c>
      <c r="L105" s="26" t="str">
        <f ca="1">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spans="1:28" ht="70" x14ac:dyDescent="0.15">
      <c r="A106" s="21" t="s">
        <v>589</v>
      </c>
      <c r="B106" s="22" t="s">
        <v>590</v>
      </c>
      <c r="C106" s="23" t="str">
        <f ca="1">IFERROR(__xludf.DUMMYFUNCTION("GOOGLETRANSLATE(B106, ""en"", ""fr"")"),"Arme de mêlée. Pousse les choses en arrière un espace quand il frappe.")</f>
        <v>Arme de mêlée. Pousse les choses en arrière un espace quand il frappe.</v>
      </c>
      <c r="D106" s="23" t="str">
        <f ca="1">IFERROR(__xludf.DUMMYFUNCTION("GOOGLETRANSLATE(B106, ""en"", ""es"")"),"Arma cuerpo a cuerpo. Empuja las cosas de vuelta un espacio cuando golpea.")</f>
        <v>Arma cuerpo a cuerpo. Empuja las cosas de vuelta un espacio cuando golpea.</v>
      </c>
      <c r="E106" s="23" t="str">
        <f ca="1">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 ca="1">IFERROR(__xludf.DUMMYFUNCTION("GOOGLETRANSLATE(B106, ""en"", ""tr"")"),"Yakın dövüş silahı. Şeyleri vururken bir şeyi geri iter.")</f>
        <v>Yakın dövüş silahı. Şeyleri vururken bir şeyi geri iter.</v>
      </c>
      <c r="G106" s="23" t="str">
        <f ca="1">IFERROR(__xludf.DUMMYFUNCTION("GOOGLETRANSLATE(B106, ""en"", ""pt"")"),"Arma branca. Empurra as coisas de volta um espaço quando ele atinge.")</f>
        <v>Arma branca. Empurra as coisas de volta um espaço quando ele atinge.</v>
      </c>
      <c r="H106" s="24" t="str">
        <f ca="1">IFERROR(__xludf.DUMMYFUNCTION("GOOGLETRANSLATE(B106, ""en"", ""de"")"),"Nahkampfwaffe. Schiebt die Dinge zurück, wenn es trifft.")</f>
        <v>Nahkampfwaffe. Schiebt die Dinge zurück, wenn es trifft.</v>
      </c>
      <c r="I106" s="23" t="str">
        <f ca="1">IFERROR(__xludf.DUMMYFUNCTION("GOOGLETRANSLATE(B106, ""en"", ""pl"")"),"Broń biała. Popycha rzeczy z powrotem jedną przestrzeń, gdy uderza.")</f>
        <v>Broń biała. Popycha rzeczy z powrotem jedną przestrzeń, gdy uderza.</v>
      </c>
      <c r="J106" s="25" t="str">
        <f ca="1">IFERROR(__xludf.DUMMYFUNCTION("GOOGLETRANSLATE(B106, ""en"", ""zh"")"),"近战武器。当它命中时，将物质推回一个空间。")</f>
        <v>近战武器。当它命中时，将物质推回一个空间。</v>
      </c>
      <c r="K106" s="25" t="str">
        <f ca="1">IFERROR(__xludf.DUMMYFUNCTION("GOOGLETRANSLATE(B106, ""en"", ""vi"")"),"Vũ khí cận chiến. Đẩy mọi thứ trở lại một không gian khi nó hit.")</f>
        <v>Vũ khí cận chiến. Đẩy mọi thứ trở lại một không gian khi nó hit.</v>
      </c>
      <c r="L106" s="26" t="str">
        <f ca="1">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spans="1:28" ht="14" x14ac:dyDescent="0.15">
      <c r="A107" s="21" t="s">
        <v>591</v>
      </c>
      <c r="B107" s="22" t="s">
        <v>592</v>
      </c>
      <c r="C107" s="23" t="str">
        <f ca="1">IFERROR(__xludf.DUMMYFUNCTION("GOOGLETRANSLATE(B107, ""en"", ""fr"")"),"Armure de fer")</f>
        <v>Armure de fer</v>
      </c>
      <c r="D107" s="23" t="str">
        <f ca="1">IFERROR(__xludf.DUMMYFUNCTION("GOOGLETRANSLATE(B107, ""en"", ""es"")"),"Armadura de hierro")</f>
        <v>Armadura de hierro</v>
      </c>
      <c r="E107" s="23" t="str">
        <f ca="1">IFERROR(__xludf.DUMMYFUNCTION("GOOGLETRANSLATE(B107, ""en"", ""ru"")"),"Железная броня")</f>
        <v>Железная броня</v>
      </c>
      <c r="F107" s="23" t="str">
        <f ca="1">IFERROR(__xludf.DUMMYFUNCTION("GOOGLETRANSLATE(B107, ""en"", ""tr"")"),"Demir zırh")</f>
        <v>Demir zırh</v>
      </c>
      <c r="G107" s="23" t="str">
        <f ca="1">IFERROR(__xludf.DUMMYFUNCTION("GOOGLETRANSLATE(B107, ""en"", ""pt"")"),"Armadura de ferro")</f>
        <v>Armadura de ferro</v>
      </c>
      <c r="H107" s="24" t="str">
        <f ca="1">IFERROR(__xludf.DUMMYFUNCTION("GOOGLETRANSLATE(B107, ""en"", ""de"")"),"Eisenrüstung")</f>
        <v>Eisenrüstung</v>
      </c>
      <c r="I107" s="23" t="str">
        <f ca="1">IFERROR(__xludf.DUMMYFUNCTION("GOOGLETRANSLATE(B107, ""en"", ""pl"")"),"Żelazna zbroja")</f>
        <v>Żelazna zbroja</v>
      </c>
      <c r="J107" s="25" t="str">
        <f ca="1">IFERROR(__xludf.DUMMYFUNCTION("GOOGLETRANSLATE(B107, ""en"", ""zh"")"),"铁盔甲")</f>
        <v>铁盔甲</v>
      </c>
      <c r="K107" s="25" t="str">
        <f ca="1">IFERROR(__xludf.DUMMYFUNCTION("GOOGLETRANSLATE(B107, ""en"", ""vi"")"),"Giáp sắt")</f>
        <v>Giáp sắt</v>
      </c>
      <c r="L107" s="26" t="str">
        <f ca="1">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spans="1:28" ht="84" x14ac:dyDescent="0.15">
      <c r="A108" s="21" t="s">
        <v>593</v>
      </c>
      <c r="B108" s="22" t="s">
        <v>594</v>
      </c>
      <c r="C108" s="23" t="str">
        <f ca="1">IFERROR(__xludf.DUMMYFUNCTION("GOOGLETRANSLATE(B108, ""en"", ""fr"")"),"Armure de base pour réduire les dommages prises. Augmente votre statistique de mêlée tout en porté.")</f>
        <v>Armure de base pour réduire les dommages prises. Augmente votre statistique de mêlée tout en porté.</v>
      </c>
      <c r="D108" s="23" t="str">
        <f ca="1">IFERROR(__xludf.DUMMYFUNCTION("GOOGLETRANSLATE(B108, ""en"", ""es"")"),"Armadura básica para reducir los daños tomados. Aumenta tu estadística de Melee mientras se usa.")</f>
        <v>Armadura básica para reducir los daños tomados. Aumenta tu estadística de Melee mientras se usa.</v>
      </c>
      <c r="E108" s="23" t="str">
        <f ca="1">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 ca="1">IFERROR(__xludf.DUMMYFUNCTION("GOOGLETRANSLATE(B108, ""en"", ""tr"")"),"Alınan hasarı azaltmak için temel zırh. Yıpranırken yakın dövüş statünüzü arttırır.")</f>
        <v>Alınan hasarı azaltmak için temel zırh. Yıpranırken yakın dövüş statünüzü arttırır.</v>
      </c>
      <c r="G108" s="23" t="str">
        <f ca="1">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 ca="1">IFERROR(__xludf.DUMMYFUNCTION("GOOGLETRANSLATE(B108, ""en"", ""de"")"),"Grundpanzer, um den genommenen Schaden zu reduzieren. Erhöht Ihren Nahkampfstat während getragen.")</f>
        <v>Grundpanzer, um den genommenen Schaden zu reduzieren. Erhöht Ihren Nahkampfstat während getragen.</v>
      </c>
      <c r="I108" s="23" t="str">
        <f ca="1">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 ca="1">IFERROR(__xludf.DUMMYFUNCTION("GOOGLETRANSLATE(B108, ""en"", ""zh"")"),"基本盔甲减少伤害。磨损时增加了近战统计数据。")</f>
        <v>基本盔甲减少伤害。磨损时增加了近战统计数据。</v>
      </c>
      <c r="K108" s="25" t="str">
        <f ca="1">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 ca="1">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spans="1:28" ht="28" x14ac:dyDescent="0.15">
      <c r="A109" s="21" t="s">
        <v>595</v>
      </c>
      <c r="B109" s="22" t="s">
        <v>596</v>
      </c>
      <c r="C109" s="23" t="str">
        <f ca="1">IFERROR(__xludf.DUMMYFUNCTION("GOOGLETRANSLATE(B109, ""en"", ""fr"")"),"Hache de dungium")</f>
        <v>Hache de dungium</v>
      </c>
      <c r="D109" s="23" t="str">
        <f ca="1">IFERROR(__xludf.DUMMYFUNCTION("GOOGLETRANSLATE(B109, ""en"", ""es"")"),"Hacha de dungium")</f>
        <v>Hacha de dungium</v>
      </c>
      <c r="E109" s="23" t="str">
        <f ca="1">IFERROR(__xludf.DUMMYFUNCTION("GOOGLETRANSLATE(B109, ""en"", ""ru"")"),"Дунгуй")</f>
        <v>Дунгуй</v>
      </c>
      <c r="F109" s="23" t="str">
        <f ca="1">IFERROR(__xludf.DUMMYFUNCTION("GOOGLETRANSLATE(B109, ""en"", ""tr"")"),"Dungium baltası")</f>
        <v>Dungium baltası</v>
      </c>
      <c r="G109" s="23" t="str">
        <f ca="1">IFERROR(__xludf.DUMMYFUNCTION("GOOGLETRANSLATE(B109, ""en"", ""pt"")"),"Machadinha de dungium.")</f>
        <v>Machadinha de dungium.</v>
      </c>
      <c r="H109" s="24" t="str">
        <f ca="1">IFERROR(__xludf.DUMMYFUNCTION("GOOGLETRANSLATE(B109, ""en"", ""de"")"),"Dungium-Beil")</f>
        <v>Dungium-Beil</v>
      </c>
      <c r="I109" s="23" t="str">
        <f ca="1">IFERROR(__xludf.DUMMYFUNCTION("GOOGLETRANSLATE(B109, ""en"", ""pl"")"),"Dungium Hatchet.")</f>
        <v>Dungium Hatchet.</v>
      </c>
      <c r="J109" s="25" t="str">
        <f ca="1">IFERROR(__xludf.DUMMYFUNCTION("GOOGLETRANSLATE(B109, ""en"", ""zh"")"),"柴油机")</f>
        <v>柴油机</v>
      </c>
      <c r="K109" s="25" t="str">
        <f ca="1">IFERROR(__xludf.DUMMYFUNCTION("GOOGLETRANSLATE(B109, ""en"", ""vi"")"),"Dungium hatchet.")</f>
        <v>Dungium hatchet.</v>
      </c>
      <c r="L109" s="26" t="str">
        <f ca="1">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spans="1:28" ht="42" x14ac:dyDescent="0.15">
      <c r="A110" s="21" t="s">
        <v>597</v>
      </c>
      <c r="B110" s="22" t="s">
        <v>560</v>
      </c>
      <c r="C110" s="23" t="str">
        <f ca="1">IFERROR(__xludf.DUMMYFUNCTION("GOOGLETRANSLATE(B110, ""en"", ""fr"")"),"Utilisé pour couper les arbres pour le bois.")</f>
        <v>Utilisé pour couper les arbres pour le bois.</v>
      </c>
      <c r="D110" s="23" t="str">
        <f ca="1">IFERROR(__xludf.DUMMYFUNCTION("GOOGLETRANSLATE(B110, ""en"", ""es"")"),"Se utiliza para cortar árboles para la madera.")</f>
        <v>Se utiliza para cortar árboles para la madera.</v>
      </c>
      <c r="E110" s="23" t="str">
        <f ca="1">IFERROR(__xludf.DUMMYFUNCTION("GOOGLETRANSLATE(B110, ""en"", ""ru"")"),"Используется для измельчения деревьев для дерева.")</f>
        <v>Используется для измельчения деревьев для дерева.</v>
      </c>
      <c r="F110" s="23" t="str">
        <f ca="1">IFERROR(__xludf.DUMMYFUNCTION("GOOGLETRANSLATE(B110, ""en"", ""tr"")"),"Ağaçları ahşap için kesmek için kullanılır.")</f>
        <v>Ağaçları ahşap için kesmek için kullanılır.</v>
      </c>
      <c r="G110" s="23" t="str">
        <f ca="1">IFERROR(__xludf.DUMMYFUNCTION("GOOGLETRANSLATE(B110, ""en"", ""pt"")"),"Usado para cortar árvores para madeira.")</f>
        <v>Usado para cortar árvores para madeira.</v>
      </c>
      <c r="H110" s="24" t="str">
        <f ca="1">IFERROR(__xludf.DUMMYFUNCTION("GOOGLETRANSLATE(B110, ""en"", ""de"")"),"Verwendet, um Bäume für Holz zu hacken.")</f>
        <v>Verwendet, um Bäume für Holz zu hacken.</v>
      </c>
      <c r="I110" s="23" t="str">
        <f ca="1">IFERROR(__xludf.DUMMYFUNCTION("GOOGLETRANSLATE(B110, ""en"", ""pl"")"),"Służy do spięcia drzew do drewna.")</f>
        <v>Służy do spięcia drzew do drewna.</v>
      </c>
      <c r="J110" s="25" t="str">
        <f ca="1">IFERROR(__xludf.DUMMYFUNCTION("GOOGLETRANSLATE(B110, ""en"", ""zh"")"),"用来砍伐树木的树木。")</f>
        <v>用来砍伐树木的树木。</v>
      </c>
      <c r="K110" s="25" t="str">
        <f ca="1">IFERROR(__xludf.DUMMYFUNCTION("GOOGLETRANSLATE(B110, ""en"", ""vi"")"),"Dùng để chặt cây cho gỗ.")</f>
        <v>Dùng để chặt cây cho gỗ.</v>
      </c>
      <c r="L110" s="26" t="str">
        <f ca="1">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spans="1:28" ht="14" x14ac:dyDescent="0.15">
      <c r="A111" s="21" t="s">
        <v>598</v>
      </c>
      <c r="B111" s="22" t="s">
        <v>599</v>
      </c>
      <c r="C111" s="23" t="str">
        <f ca="1">IFERROR(__xludf.DUMMYFUNCTION("GOOGLETRANSLATE(B111, ""en"", ""fr"")"),"Pickaxe Dungium")</f>
        <v>Pickaxe Dungium</v>
      </c>
      <c r="D111" s="23" t="str">
        <f ca="1">IFERROR(__xludf.DUMMYFUNCTION("GOOGLETRANSLATE(B111, ""en"", ""es"")"),"Pico de dunmium")</f>
        <v>Pico de dunmium</v>
      </c>
      <c r="E111" s="23" t="str">
        <f ca="1">IFERROR(__xludf.DUMMYFUNCTION("GOOGLETRANSLATE(B111, ""en"", ""ru"")"),"Викторина Dungium")</f>
        <v>Викторина Dungium</v>
      </c>
      <c r="F111" s="23" t="str">
        <f ca="1">IFERROR(__xludf.DUMMYFUNCTION("GOOGLETRANSLATE(B111, ""en"", ""tr"")"),"Dungium kazmaxe")</f>
        <v>Dungium kazmaxe</v>
      </c>
      <c r="G111" s="23" t="str">
        <f ca="1">IFERROR(__xludf.DUMMYFUNCTION("GOOGLETRANSLATE(B111, ""en"", ""pt"")"),"Dungium Pickaxe.")</f>
        <v>Dungium Pickaxe.</v>
      </c>
      <c r="H111" s="24" t="str">
        <f ca="1">IFERROR(__xludf.DUMMYFUNCTION("GOOGLETRANSLATE(B111, ""en"", ""de"")"),"Dungium Picker")</f>
        <v>Dungium Picker</v>
      </c>
      <c r="I111" s="23" t="str">
        <f ca="1">IFERROR(__xludf.DUMMYFUNCTION("GOOGLETRANSLATE(B111, ""en"", ""pl"")"),"Dungaxe.")</f>
        <v>Dungaxe.</v>
      </c>
      <c r="J111" s="25" t="str">
        <f ca="1">IFERROR(__xludf.DUMMYFUNCTION("GOOGLETRANSLATE(B111, ""en"", ""zh"")"),"pick镐")</f>
        <v>pick镐</v>
      </c>
      <c r="K111" s="25" t="str">
        <f ca="1">IFERROR(__xludf.DUMMYFUNCTION("GOOGLETRANSLATE(B111, ""en"", ""vi"")"),"Dungium Pickaxe.")</f>
        <v>Dungium Pickaxe.</v>
      </c>
      <c r="L111" s="26" t="str">
        <f ca="1">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spans="1:28" ht="28" x14ac:dyDescent="0.15">
      <c r="A112" s="21" t="s">
        <v>600</v>
      </c>
      <c r="B112" s="22" t="s">
        <v>564</v>
      </c>
      <c r="C112" s="23" t="str">
        <f ca="1">IFERROR(__xludf.DUMMYFUNCTION("GOOGLETRANSLATE(B112, ""en"", ""fr"")"),"Utilisé pour mine rochers pour minerai.")</f>
        <v>Utilisé pour mine rochers pour minerai.</v>
      </c>
      <c r="D112" s="23" t="str">
        <f ca="1">IFERROR(__xludf.DUMMYFUNCTION("GOOGLETRANSLATE(B112, ""en"", ""es"")"),"Acostumbrado a minar rocas para mineral.")</f>
        <v>Acostumbrado a minar rocas para mineral.</v>
      </c>
      <c r="E112" s="23" t="str">
        <f ca="1">IFERROR(__xludf.DUMMYFUNCTION("GOOGLETRANSLATE(B112, ""en"", ""ru"")"),"Используется для моих скал для руды.")</f>
        <v>Используется для моих скал для руды.</v>
      </c>
      <c r="F112" s="23" t="str">
        <f ca="1">IFERROR(__xludf.DUMMYFUNCTION("GOOGLETRANSLATE(B112, ""en"", ""tr"")"),"Cevher için kayalar için kullanılır.")</f>
        <v>Cevher için kayalar için kullanılır.</v>
      </c>
      <c r="G112" s="23" t="str">
        <f ca="1">IFERROR(__xludf.DUMMYFUNCTION("GOOGLETRANSLATE(B112, ""en"", ""pt"")"),"Usado para minerar pedras para minério.")</f>
        <v>Usado para minerar pedras para minério.</v>
      </c>
      <c r="H112" s="24" t="str">
        <f ca="1">IFERROR(__xludf.DUMMYFUNCTION("GOOGLETRANSLATE(B112, ""en"", ""de"")"),"Verwendet, um Felsen für Erz zu gestalten.")</f>
        <v>Verwendet, um Felsen für Erz zu gestalten.</v>
      </c>
      <c r="I112" s="23" t="str">
        <f ca="1">IFERROR(__xludf.DUMMYFUNCTION("GOOGLETRANSLATE(B112, ""en"", ""pl"")"),"Używane do moich skał dla rudy.")</f>
        <v>Używane do moich skał dla rudy.</v>
      </c>
      <c r="J112" s="25" t="str">
        <f ca="1">IFERROR(__xludf.DUMMYFUNCTION("GOOGLETRANSLATE(B112, ""en"", ""zh"")"),"用于挖掘矿石的岩石。")</f>
        <v>用于挖掘矿石的岩石。</v>
      </c>
      <c r="K112" s="25" t="str">
        <f ca="1">IFERROR(__xludf.DUMMYFUNCTION("GOOGLETRANSLATE(B112, ""en"", ""vi"")"),"Được sử dụng để khai thác đá cho quặng.")</f>
        <v>Được sử dụng để khai thác đá cho quặng.</v>
      </c>
      <c r="L112" s="26" t="str">
        <f ca="1">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spans="1:28" ht="14" x14ac:dyDescent="0.15">
      <c r="A113" s="21" t="s">
        <v>601</v>
      </c>
      <c r="B113" s="22" t="s">
        <v>602</v>
      </c>
      <c r="C113" s="23" t="str">
        <f ca="1">IFERROR(__xludf.DUMMYFUNCTION("GOOGLETRANSLATE(B113, ""en"", ""fr"")"),"Panneaux de dungium")</f>
        <v>Panneaux de dungium</v>
      </c>
      <c r="D113" s="23" t="str">
        <f ca="1">IFERROR(__xludf.DUMMYFUNCTION("GOOGLETRANSLATE(B113, ""en"", ""es"")"),"Hoz de dungium")</f>
        <v>Hoz de dungium</v>
      </c>
      <c r="E113" s="23" t="str">
        <f ca="1">IFERROR(__xludf.DUMMYFUNCTION("GOOGLETRANSLATE(B113, ""en"", ""ru"")"),"Дангуй")</f>
        <v>Дангуй</v>
      </c>
      <c r="F113" s="23" t="str">
        <f ca="1">IFERROR(__xludf.DUMMYFUNCTION("GOOGLETRANSLATE(B113, ""en"", ""tr"")"),"Dungium orak")</f>
        <v>Dungium orak</v>
      </c>
      <c r="G113" s="23" t="str">
        <f ca="1">IFERROR(__xludf.DUMMYFUNCTION("GOOGLETRANSLATE(B113, ""en"", ""pt"")"),"Dungium Sickle.")</f>
        <v>Dungium Sickle.</v>
      </c>
      <c r="H113" s="24" t="str">
        <f ca="1">IFERROR(__xludf.DUMMYFUNCTION("GOOGLETRANSLATE(B113, ""en"", ""de"")"),"Dungium Sichel.")</f>
        <v>Dungium Sichel.</v>
      </c>
      <c r="I113" s="23" t="str">
        <f ca="1">IFERROR(__xludf.DUMMYFUNCTION("GOOGLETRANSLATE(B113, ""en"", ""pl"")"),"Sierp Dungowy")</f>
        <v>Sierp Dungowy</v>
      </c>
      <c r="J113" s="25" t="str">
        <f ca="1">IFERROR(__xludf.DUMMYFUNCTION("GOOGLETRANSLATE(B113, ""en"", ""zh"")"),"Dungium镰刀")</f>
        <v>Dungium镰刀</v>
      </c>
      <c r="K113" s="25" t="str">
        <f ca="1">IFERROR(__xludf.DUMMYFUNCTION("GOOGLETRANSLATE(B113, ""en"", ""vi"")"),"Liềm hóa dung")</f>
        <v>Liềm hóa dung</v>
      </c>
      <c r="L113" s="26" t="str">
        <f ca="1">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spans="1:28" ht="28" x14ac:dyDescent="0.15">
      <c r="A114" s="21" t="s">
        <v>603</v>
      </c>
      <c r="B114" s="22" t="s">
        <v>574</v>
      </c>
      <c r="C114" s="23" t="str">
        <f ca="1">IFERROR(__xludf.DUMMYFUNCTION("GOOGLETRANSLATE(B114, ""en"", ""fr"")"),"Utilisé pour recueillir des plantes.")</f>
        <v>Utilisé pour recueillir des plantes.</v>
      </c>
      <c r="D114" s="23" t="str">
        <f ca="1">IFERROR(__xludf.DUMMYFUNCTION("GOOGLETRANSLATE(B114, ""en"", ""es"")"),"Se utiliza para recoger plantas.")</f>
        <v>Se utiliza para recoger plantas.</v>
      </c>
      <c r="E114" s="23" t="str">
        <f ca="1">IFERROR(__xludf.DUMMYFUNCTION("GOOGLETRANSLATE(B114, ""en"", ""ru"")"),"Используется для собрания растений.")</f>
        <v>Используется для собрания растений.</v>
      </c>
      <c r="F114" s="23" t="str">
        <f ca="1">IFERROR(__xludf.DUMMYFUNCTION("GOOGLETRANSLATE(B114, ""en"", ""tr"")"),"Bitkileri toplamak için kullanılır.")</f>
        <v>Bitkileri toplamak için kullanılır.</v>
      </c>
      <c r="G114" s="23" t="str">
        <f ca="1">IFERROR(__xludf.DUMMYFUNCTION("GOOGLETRANSLATE(B114, ""en"", ""pt"")"),"Usado para reunir plantas.")</f>
        <v>Usado para reunir plantas.</v>
      </c>
      <c r="H114" s="24" t="str">
        <f ca="1">IFERROR(__xludf.DUMMYFUNCTION("GOOGLETRANSLATE(B114, ""en"", ""de"")"),"Verwendet, um Pflanzen zu sammeln.")</f>
        <v>Verwendet, um Pflanzen zu sammeln.</v>
      </c>
      <c r="I114" s="23" t="str">
        <f ca="1">IFERROR(__xludf.DUMMYFUNCTION("GOOGLETRANSLATE(B114, ""en"", ""pl"")"),"Używane do zbierania roślin.")</f>
        <v>Używane do zbierania roślin.</v>
      </c>
      <c r="J114" s="25" t="str">
        <f ca="1">IFERROR(__xludf.DUMMYFUNCTION("GOOGLETRANSLATE(B114, ""en"", ""zh"")"),"用来收集植物。")</f>
        <v>用来收集植物。</v>
      </c>
      <c r="K114" s="25" t="str">
        <f ca="1">IFERROR(__xludf.DUMMYFUNCTION("GOOGLETRANSLATE(B114, ""en"", ""vi"")"),"Dùng để thu thập cây.")</f>
        <v>Dùng để thu thập cây.</v>
      </c>
      <c r="L114" s="26" t="str">
        <f ca="1">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spans="1:28" ht="14" x14ac:dyDescent="0.15">
      <c r="A115" s="21" t="s">
        <v>604</v>
      </c>
      <c r="B115" s="22" t="s">
        <v>605</v>
      </c>
      <c r="C115" s="23" t="str">
        <f ca="1">IFERROR(__xludf.DUMMYFUNCTION("GOOGLETRANSLATE(B115, ""en"", ""fr"")"),"Flèches de Dungium")</f>
        <v>Flèches de Dungium</v>
      </c>
      <c r="D115" s="23" t="str">
        <f ca="1">IFERROR(__xludf.DUMMYFUNCTION("GOOGLETRANSLATE(B115, ""en"", ""es"")"),"Flechas de Dungium")</f>
        <v>Flechas de Dungium</v>
      </c>
      <c r="E115" s="23" t="str">
        <f ca="1">IFERROR(__xludf.DUMMYFUNCTION("GOOGLETRANSLATE(B115, ""en"", ""ru"")"),"Стрелки на дюнгуи")</f>
        <v>Стрелки на дюнгуи</v>
      </c>
      <c r="F115" s="23" t="str">
        <f ca="1">IFERROR(__xludf.DUMMYFUNCTION("GOOGLETRANSLATE(B115, ""en"", ""tr"")"),"Dungium okları")</f>
        <v>Dungium okları</v>
      </c>
      <c r="G115" s="23" t="str">
        <f ca="1">IFERROR(__xludf.DUMMYFUNCTION("GOOGLETRANSLATE(B115, ""en"", ""pt"")"),"Flechas de dungium")</f>
        <v>Flechas de dungium</v>
      </c>
      <c r="H115" s="24" t="str">
        <f ca="1">IFERROR(__xludf.DUMMYFUNCTION("GOOGLETRANSLATE(B115, ""en"", ""de"")"),"Dungium-Pfeile")</f>
        <v>Dungium-Pfeile</v>
      </c>
      <c r="I115" s="23" t="str">
        <f ca="1">IFERROR(__xludf.DUMMYFUNCTION("GOOGLETRANSLATE(B115, ""en"", ""pl"")"),"Strzałki")</f>
        <v>Strzałki</v>
      </c>
      <c r="J115" s="25" t="str">
        <f ca="1">IFERROR(__xludf.DUMMYFUNCTION("GOOGLETRANSLATE(B115, ""en"", ""zh"")"),"平衡箭头")</f>
        <v>平衡箭头</v>
      </c>
      <c r="K115" s="25" t="str">
        <f ca="1">IFERROR(__xludf.DUMMYFUNCTION("GOOGLETRANSLATE(B115, ""en"", ""vi"")"),"Mũi tên dungium.")</f>
        <v>Mũi tên dungium.</v>
      </c>
      <c r="L115" s="26" t="str">
        <f ca="1">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spans="1:28" ht="42" x14ac:dyDescent="0.15">
      <c r="A116" s="21" t="s">
        <v>606</v>
      </c>
      <c r="B116" s="22" t="s">
        <v>578</v>
      </c>
      <c r="C116" s="23" t="str">
        <f ca="1">IFERROR(__xludf.DUMMYFUNCTION("GOOGLETRANSLATE(B116, ""en"", ""fr"")"),"Utilisé comme munition pour un arc.")</f>
        <v>Utilisé comme munition pour un arc.</v>
      </c>
      <c r="D116" s="23" t="str">
        <f ca="1">IFERROR(__xludf.DUMMYFUNCTION("GOOGLETRANSLATE(B116, ""en"", ""es"")"),"Utilizado como municiones para un arco.")</f>
        <v>Utilizado como municiones para un arco.</v>
      </c>
      <c r="E116" s="23" t="str">
        <f ca="1">IFERROR(__xludf.DUMMYFUNCTION("GOOGLETRANSLATE(B116, ""en"", ""ru"")"),"Используется в качестве боеприпасов для лука.")</f>
        <v>Используется в качестве боеприпасов для лука.</v>
      </c>
      <c r="F116" s="23" t="str">
        <f ca="1">IFERROR(__xludf.DUMMYFUNCTION("GOOGLETRANSLATE(B116, ""en"", ""tr"")"),"Bir yay için mühimmat olarak kullanılır.")</f>
        <v>Bir yay için mühimmat olarak kullanılır.</v>
      </c>
      <c r="G116" s="23" t="str">
        <f ca="1">IFERROR(__xludf.DUMMYFUNCTION("GOOGLETRANSLATE(B116, ""en"", ""pt"")"),"Usado como munição para um arco.")</f>
        <v>Usado como munição para um arco.</v>
      </c>
      <c r="H116" s="24" t="str">
        <f ca="1">IFERROR(__xludf.DUMMYFUNCTION("GOOGLETRANSLATE(B116, ""en"", ""de"")"),"Als Munition für einen Bogen verwendet.")</f>
        <v>Als Munition für einen Bogen verwendet.</v>
      </c>
      <c r="I116" s="23" t="str">
        <f ca="1">IFERROR(__xludf.DUMMYFUNCTION("GOOGLETRANSLATE(B116, ""en"", ""pl"")"),"Używany jako amunicja na łuk.")</f>
        <v>Używany jako amunicja na łuk.</v>
      </c>
      <c r="J116" s="25" t="str">
        <f ca="1">IFERROR(__xludf.DUMMYFUNCTION("GOOGLETRANSLATE(B116, ""en"", ""zh"")"),"用作弓的弹药。")</f>
        <v>用作弓的弹药。</v>
      </c>
      <c r="K116" s="25" t="str">
        <f ca="1">IFERROR(__xludf.DUMMYFUNCTION("GOOGLETRANSLATE(B116, ""en"", ""vi"")"),"Dùng làm đạn cho một cây cung.")</f>
        <v>Dùng làm đạn cho một cây cung.</v>
      </c>
      <c r="L116" s="26" t="str">
        <f ca="1">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spans="1:28" ht="14" x14ac:dyDescent="0.15">
      <c r="A117" s="21" t="s">
        <v>607</v>
      </c>
      <c r="B117" s="22" t="s">
        <v>608</v>
      </c>
      <c r="C117" s="23" t="str">
        <f ca="1">IFERROR(__xludf.DUMMYFUNCTION("GOOGLETRANSLATE(B117, ""en"", ""fr"")"),"Poignée de dungium")</f>
        <v>Poignée de dungium</v>
      </c>
      <c r="D117" s="23" t="str">
        <f ca="1">IFERROR(__xludf.DUMMYFUNCTION("GOOGLETRANSLATE(B117, ""en"", ""es"")"),"Daga de dungio")</f>
        <v>Daga de dungio</v>
      </c>
      <c r="E117" s="23" t="str">
        <f ca="1">IFERROR(__xludf.DUMMYFUNCTION("GOOGLETRANSLATE(B117, ""en"", ""ru"")"),"Дунгуйский кинжал")</f>
        <v>Дунгуйский кинжал</v>
      </c>
      <c r="F117" s="23" t="str">
        <f ca="1">IFERROR(__xludf.DUMMYFUNCTION("GOOGLETRANSLATE(B117, ""en"", ""tr"")"),"Dungium hançer")</f>
        <v>Dungium hançer</v>
      </c>
      <c r="G117" s="23" t="str">
        <f ca="1">IFERROR(__xludf.DUMMYFUNCTION("GOOGLETRANSLATE(B117, ""en"", ""pt"")"),"Dungium Dagger.")</f>
        <v>Dungium Dagger.</v>
      </c>
      <c r="H117" s="24" t="str">
        <f ca="1">IFERROR(__xludf.DUMMYFUNCTION("GOOGLETRANSLATE(B117, ""en"", ""de"")"),"Dungium Dolch.")</f>
        <v>Dungium Dolch.</v>
      </c>
      <c r="I117" s="23" t="str">
        <f ca="1">IFERROR(__xludf.DUMMYFUNCTION("GOOGLETRANSLATE(B117, ""en"", ""pl"")"),"Dungagium Dagger.")</f>
        <v>Dungagium Dagger.</v>
      </c>
      <c r="J117" s="25" t="str">
        <f ca="1">IFERROR(__xludf.DUMMYFUNCTION("GOOGLETRANSLATE(B117, ""en"", ""zh"")"),"Dungium匕首")</f>
        <v>Dungium匕首</v>
      </c>
      <c r="K117" s="25" t="str">
        <f ca="1">IFERROR(__xludf.DUMMYFUNCTION("GOOGLETRANSLATE(B117, ""en"", ""vi"")"),"Dungium Dagger.")</f>
        <v>Dungium Dagger.</v>
      </c>
      <c r="L117" s="26" t="str">
        <f ca="1">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spans="1:28" ht="70" x14ac:dyDescent="0.15">
      <c r="A118" s="21" t="s">
        <v>609</v>
      </c>
      <c r="B118" s="22" t="s">
        <v>582</v>
      </c>
      <c r="C118" s="23" t="str">
        <f ca="1">IFERROR(__xludf.DUMMYFUNCTION("GOOGLETRANSLATE(B118, ""en"", ""fr"")"),"Une arme de mêlée à courte portée. Traite des dégâts de bonus quand il frappe derrière lui.")</f>
        <v>Une arme de mêlée à courte portée. Traite des dégâts de bonus quand il frappe derrière lui.</v>
      </c>
      <c r="D118" s="23" t="str">
        <f ca="1">IFERROR(__xludf.DUMMYFUNCTION("GOOGLETRANSLATE(B118, ""en"", ""es"")"),"Un breve arma cuerpo a cuerpo. Ofrece daño de bonificación cuando llega por detrás.")</f>
        <v>Un breve arma cuerpo a cuerpo. Ofrece daño de bonificación cuando llega por detrás.</v>
      </c>
      <c r="E118" s="23" t="str">
        <f ca="1">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 ca="1">IFERROR(__xludf.DUMMYFUNCTION("GOOGLETRANSLATE(B118, ""en"", ""tr"")"),"Kısa menzilli bir yakın dövüş silahı. Arkadan isabet ettiğinde bonus hasarı fırsatlar.")</f>
        <v>Kısa menzilli bir yakın dövüş silahı. Arkadan isabet ettiğinde bonus hasarı fırsatlar.</v>
      </c>
      <c r="G118" s="23" t="str">
        <f ca="1">IFERROR(__xludf.DUMMYFUNCTION("GOOGLETRANSLATE(B118, ""en"", ""pt"")"),"Uma arma de corpo a corpo de curto alcance. Oferece dano de bônus quando atinge por trás.")</f>
        <v>Uma arma de corpo a corpo de curto alcance. Oferece dano de bônus quando atinge por trás.</v>
      </c>
      <c r="H118" s="24" t="str">
        <f ca="1">IFERROR(__xludf.DUMMYFUNCTION("GOOGLETRANSLATE(B118, ""en"", ""de"")"),"Eine kurze Reichweite-Nahkampfwaffe. Befasst sich mit Bonusschäden, wenn sie von hinten trifft.")</f>
        <v>Eine kurze Reichweite-Nahkampfwaffe. Befasst sich mit Bonusschäden, wenn sie von hinten trifft.</v>
      </c>
      <c r="I118" s="23" t="str">
        <f ca="1">IFERROR(__xludf.DUMMYFUNCTION("GOOGLETRANSLATE(B118, ""en"", ""pl"")"),"Broń wręcz broni. Oferty bonusowe uszkodzenia, gdy uderza od tyłu.")</f>
        <v>Broń wręcz broni. Oferty bonusowe uszkodzenia, gdy uderza od tyłu.</v>
      </c>
      <c r="J118" s="25" t="str">
        <f ca="1">IFERROR(__xludf.DUMMYFUNCTION("GOOGLETRANSLATE(B118, ""en"", ""zh"")"),"短程近战武器。从后面击中时造成奖金损坏。")</f>
        <v>短程近战武器。从后面击中时造成奖金损坏。</v>
      </c>
      <c r="K118" s="25" t="str">
        <f ca="1">IFERROR(__xludf.DUMMYFUNCTION("GOOGLETRANSLATE(B118, ""en"", ""vi"")"),"Một vũ khí cận chiến ngắn. Gây sát thương tiền thưởng khi nó đánh từ phía sau.")</f>
        <v>Một vũ khí cận chiến ngắn. Gây sát thương tiền thưởng khi nó đánh từ phía sau.</v>
      </c>
      <c r="L118" s="26" t="str">
        <f ca="1">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spans="1:28" ht="14" x14ac:dyDescent="0.15">
      <c r="A119" s="21" t="s">
        <v>610</v>
      </c>
      <c r="B119" s="22" t="s">
        <v>611</v>
      </c>
      <c r="C119" s="23" t="str">
        <f ca="1">IFERROR(__xludf.DUMMYFUNCTION("GOOGLETRANSLATE(B119, ""en"", ""fr"")"),"Épée de dungium")</f>
        <v>Épée de dungium</v>
      </c>
      <c r="D119" s="23" t="str">
        <f ca="1">IFERROR(__xludf.DUMMYFUNCTION("GOOGLETRANSLATE(B119, ""en"", ""es"")"),"Espada de dungium")</f>
        <v>Espada de dungium</v>
      </c>
      <c r="E119" s="23" t="str">
        <f ca="1">IFERROR(__xludf.DUMMYFUNCTION("GOOGLETRANSLATE(B119, ""en"", ""ru"")"),"Дунгуйский меч")</f>
        <v>Дунгуйский меч</v>
      </c>
      <c r="F119" s="23" t="str">
        <f ca="1">IFERROR(__xludf.DUMMYFUNCTION("GOOGLETRANSLATE(B119, ""en"", ""tr"")"),"Dungium kılıcı")</f>
        <v>Dungium kılıcı</v>
      </c>
      <c r="G119" s="23" t="str">
        <f ca="1">IFERROR(__xludf.DUMMYFUNCTION("GOOGLETRANSLATE(B119, ""en"", ""pt"")"),"Espada de dungium")</f>
        <v>Espada de dungium</v>
      </c>
      <c r="H119" s="24" t="str">
        <f ca="1">IFERROR(__xludf.DUMMYFUNCTION("GOOGLETRANSLATE(B119, ""en"", ""de"")"),"Dungium-Schwert")</f>
        <v>Dungium-Schwert</v>
      </c>
      <c r="I119" s="23" t="str">
        <f ca="1">IFERROR(__xludf.DUMMYFUNCTION("GOOGLETRANSLATE(B119, ""en"", ""pl"")"),"Miecz pozbawiony")</f>
        <v>Miecz pozbawiony</v>
      </c>
      <c r="J119" s="25" t="str">
        <f ca="1">IFERROR(__xludf.DUMMYFUNCTION("GOOGLETRANSLATE(B119, ""en"", ""zh"")"),"Dungium剑")</f>
        <v>Dungium剑</v>
      </c>
      <c r="K119" s="25" t="str">
        <f ca="1">IFERROR(__xludf.DUMMYFUNCTION("GOOGLETRANSLATE(B119, ""en"", ""vi"")"),"Thanh kiếm dungium.")</f>
        <v>Thanh kiếm dungium.</v>
      </c>
      <c r="L119" s="26" t="str">
        <f ca="1">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spans="1:28" ht="70" x14ac:dyDescent="0.15">
      <c r="A120" s="21" t="s">
        <v>612</v>
      </c>
      <c r="B120" s="22" t="s">
        <v>586</v>
      </c>
      <c r="C120" s="23" t="str">
        <f ca="1">IFERROR(__xludf.DUMMYFUNCTION("GOOGLETRANSLATE(B120, ""en"", ""fr"")"),"Arme de mêlée. Utilisé pour attaquer une courte distance.")</f>
        <v>Arme de mêlée. Utilisé pour attaquer une courte distance.</v>
      </c>
      <c r="D120" s="23" t="str">
        <f ca="1">IFERROR(__xludf.DUMMYFUNCTION("GOOGLETRANSLATE(B120, ""en"", ""es"")"),"Arma cuerpo a cuerpo. Se utiliza para atacar a una corta distancia.")</f>
        <v>Arma cuerpo a cuerpo. Se utiliza para atacar a una corta distancia.</v>
      </c>
      <c r="E120" s="23" t="str">
        <f ca="1">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 ca="1">IFERROR(__xludf.DUMMYFUNCTION("GOOGLETRANSLATE(B120, ""en"", ""tr"")"),"Yakın dövüş silahı. Kısa bir mesafeye saldırmak için kullanılır.")</f>
        <v>Yakın dövüş silahı. Kısa bir mesafeye saldırmak için kullanılır.</v>
      </c>
      <c r="G120" s="23" t="str">
        <f ca="1">IFERROR(__xludf.DUMMYFUNCTION("GOOGLETRANSLATE(B120, ""en"", ""pt"")"),"Arma branca. Usado para atacar uma curta distância.")</f>
        <v>Arma branca. Usado para atacar uma curta distância.</v>
      </c>
      <c r="H120" s="24" t="str">
        <f ca="1">IFERROR(__xludf.DUMMYFUNCTION("GOOGLETRANSLATE(B120, ""en"", ""de"")"),"Nahkampfwaffe. Verwendet, um eine kurze Entfernung anzugreifen.")</f>
        <v>Nahkampfwaffe. Verwendet, um eine kurze Entfernung anzugreifen.</v>
      </c>
      <c r="I120" s="23" t="str">
        <f ca="1">IFERROR(__xludf.DUMMYFUNCTION("GOOGLETRANSLATE(B120, ""en"", ""pl"")"),"Broń biała. Używany do ataku w niewielkiej odległości.")</f>
        <v>Broń biała. Używany do ataku w niewielkiej odległości.</v>
      </c>
      <c r="J120" s="25" t="str">
        <f ca="1">IFERROR(__xludf.DUMMYFUNCTION("GOOGLETRANSLATE(B120, ""en"", ""zh"")"),"近战武器。用来攻击很短的距离。")</f>
        <v>近战武器。用来攻击很短的距离。</v>
      </c>
      <c r="K120" s="25" t="str">
        <f ca="1">IFERROR(__xludf.DUMMYFUNCTION("GOOGLETRANSLATE(B120, ""en"", ""vi"")"),"Vũ khí cận chiến. Được sử dụng để tấn công một khoảng cách ngắn đi.")</f>
        <v>Vũ khí cận chiến. Được sử dụng để tấn công một khoảng cách ngắn đi.</v>
      </c>
      <c r="L120" s="26" t="str">
        <f ca="1">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spans="1:28" ht="14" x14ac:dyDescent="0.15">
      <c r="A121" s="21" t="s">
        <v>613</v>
      </c>
      <c r="B121" s="22" t="s">
        <v>614</v>
      </c>
      <c r="C121" s="23" t="str">
        <f ca="1">IFERROR(__xludf.DUMMYFUNCTION("GOOGLETRANSLATE(B121, ""en"", ""fr"")"),"Marteau de dungium")</f>
        <v>Marteau de dungium</v>
      </c>
      <c r="D121" s="23" t="str">
        <f ca="1">IFERROR(__xludf.DUMMYFUNCTION("GOOGLETRANSLATE(B121, ""en"", ""es"")"),"Dungium martillo")</f>
        <v>Dungium martillo</v>
      </c>
      <c r="E121" s="23" t="str">
        <f ca="1">IFERROR(__xludf.DUMMYFUNCTION("GOOGLETRANSLATE(B121, ""en"", ""ru"")"),"Дунджский молоток")</f>
        <v>Дунджский молоток</v>
      </c>
      <c r="F121" s="23" t="str">
        <f ca="1">IFERROR(__xludf.DUMMYFUNCTION("GOOGLETRANSLATE(B121, ""en"", ""tr"")"),"Dungium çekiç")</f>
        <v>Dungium çekiç</v>
      </c>
      <c r="G121" s="23" t="str">
        <f ca="1">IFERROR(__xludf.DUMMYFUNCTION("GOOGLETRANSLATE(B121, ""en"", ""pt"")"),"Martelo de dungium")</f>
        <v>Martelo de dungium</v>
      </c>
      <c r="H121" s="24" t="str">
        <f ca="1">IFERROR(__xludf.DUMMYFUNCTION("GOOGLETRANSLATE(B121, ""en"", ""de"")"),"Dungium Hammer")</f>
        <v>Dungium Hammer</v>
      </c>
      <c r="I121" s="23" t="str">
        <f ca="1">IFERROR(__xludf.DUMMYFUNCTION("GOOGLETRANSLATE(B121, ""en"", ""pl"")"),"Dungium Hammer.")</f>
        <v>Dungium Hammer.</v>
      </c>
      <c r="J121" s="25" t="str">
        <f ca="1">IFERROR(__xludf.DUMMYFUNCTION("GOOGLETRANSLATE(B121, ""en"", ""zh"")"),"锤锤")</f>
        <v>锤锤</v>
      </c>
      <c r="K121" s="25" t="str">
        <f ca="1">IFERROR(__xludf.DUMMYFUNCTION("GOOGLETRANSLATE(B121, ""en"", ""vi"")"),"Búa dungium.")</f>
        <v>Búa dungium.</v>
      </c>
      <c r="L121" s="26" t="str">
        <f ca="1">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spans="1:28" ht="70" x14ac:dyDescent="0.15">
      <c r="A122" s="21" t="s">
        <v>615</v>
      </c>
      <c r="B122" s="22" t="s">
        <v>590</v>
      </c>
      <c r="C122" s="23" t="str">
        <f ca="1">IFERROR(__xludf.DUMMYFUNCTION("GOOGLETRANSLATE(B122, ""en"", ""fr"")"),"Arme de mêlée. Pousse les choses en arrière un espace quand il frappe.")</f>
        <v>Arme de mêlée. Pousse les choses en arrière un espace quand il frappe.</v>
      </c>
      <c r="D122" s="23" t="str">
        <f ca="1">IFERROR(__xludf.DUMMYFUNCTION("GOOGLETRANSLATE(B122, ""en"", ""es"")"),"Arma cuerpo a cuerpo. Empuja las cosas de vuelta un espacio cuando golpea.")</f>
        <v>Arma cuerpo a cuerpo. Empuja las cosas de vuelta un espacio cuando golpea.</v>
      </c>
      <c r="E122" s="23" t="str">
        <f ca="1">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 ca="1">IFERROR(__xludf.DUMMYFUNCTION("GOOGLETRANSLATE(B122, ""en"", ""tr"")"),"Yakın dövüş silahı. Şeyleri vururken bir şeyi geri iter.")</f>
        <v>Yakın dövüş silahı. Şeyleri vururken bir şeyi geri iter.</v>
      </c>
      <c r="G122" s="23" t="str">
        <f ca="1">IFERROR(__xludf.DUMMYFUNCTION("GOOGLETRANSLATE(B122, ""en"", ""pt"")"),"Arma branca. Empurra as coisas de volta um espaço quando ele atinge.")</f>
        <v>Arma branca. Empurra as coisas de volta um espaço quando ele atinge.</v>
      </c>
      <c r="H122" s="24" t="str">
        <f ca="1">IFERROR(__xludf.DUMMYFUNCTION("GOOGLETRANSLATE(B122, ""en"", ""de"")"),"Nahkampfwaffe. Schiebt die Dinge zurück, wenn es trifft.")</f>
        <v>Nahkampfwaffe. Schiebt die Dinge zurück, wenn es trifft.</v>
      </c>
      <c r="I122" s="23" t="str">
        <f ca="1">IFERROR(__xludf.DUMMYFUNCTION("GOOGLETRANSLATE(B122, ""en"", ""pl"")"),"Broń biała. Popycha rzeczy z powrotem jedną przestrzeń, gdy uderza.")</f>
        <v>Broń biała. Popycha rzeczy z powrotem jedną przestrzeń, gdy uderza.</v>
      </c>
      <c r="J122" s="25" t="str">
        <f ca="1">IFERROR(__xludf.DUMMYFUNCTION("GOOGLETRANSLATE(B122, ""en"", ""zh"")"),"近战武器。当它命中时，将物质推回一个空间。")</f>
        <v>近战武器。当它命中时，将物质推回一个空间。</v>
      </c>
      <c r="K122" s="25" t="str">
        <f ca="1">IFERROR(__xludf.DUMMYFUNCTION("GOOGLETRANSLATE(B122, ""en"", ""vi"")"),"Vũ khí cận chiến. Đẩy mọi thứ trở lại một không gian khi nó hit.")</f>
        <v>Vũ khí cận chiến. Đẩy mọi thứ trở lại một không gian khi nó hit.</v>
      </c>
      <c r="L122" s="26" t="str">
        <f ca="1">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spans="1:28" ht="14" x14ac:dyDescent="0.15">
      <c r="A123" s="21" t="s">
        <v>616</v>
      </c>
      <c r="B123" s="22" t="s">
        <v>617</v>
      </c>
      <c r="C123" s="23" t="str">
        <f ca="1">IFERROR(__xludf.DUMMYFUNCTION("GOOGLETRANSLATE(B123, ""en"", ""fr"")"),"Armure de dunkium")</f>
        <v>Armure de dunkium</v>
      </c>
      <c r="D123" s="23" t="str">
        <f ca="1">IFERROR(__xludf.DUMMYFUNCTION("GOOGLETRANSLATE(B123, ""en"", ""es"")"),"Armadura de dungio")</f>
        <v>Armadura de dungio</v>
      </c>
      <c r="E123" s="23" t="str">
        <f ca="1">IFERROR(__xludf.DUMMYFUNCTION("GOOGLETRANSLATE(B123, ""en"", ""ru"")"),"Дунгульская броня")</f>
        <v>Дунгульская броня</v>
      </c>
      <c r="F123" s="23" t="str">
        <f ca="1">IFERROR(__xludf.DUMMYFUNCTION("GOOGLETRANSLATE(B123, ""en"", ""tr"")"),"Dungium zırhı")</f>
        <v>Dungium zırhı</v>
      </c>
      <c r="G123" s="23" t="str">
        <f ca="1">IFERROR(__xludf.DUMMYFUNCTION("GOOGLETRANSLATE(B123, ""en"", ""pt"")"),"Armadura de dungium.")</f>
        <v>Armadura de dungium.</v>
      </c>
      <c r="H123" s="24" t="str">
        <f ca="1">IFERROR(__xludf.DUMMYFUNCTION("GOOGLETRANSLATE(B123, ""en"", ""de"")"),"Dungium-Rüstung")</f>
        <v>Dungium-Rüstung</v>
      </c>
      <c r="I123" s="23" t="str">
        <f ca="1">IFERROR(__xludf.DUMMYFUNCTION("GOOGLETRANSLATE(B123, ""en"", ""pl"")"),"Armor Dungium.")</f>
        <v>Armor Dungium.</v>
      </c>
      <c r="J123" s="25" t="str">
        <f ca="1">IFERROR(__xludf.DUMMYFUNCTION("GOOGLETRANSLATE(B123, ""en"", ""zh"")"),"平安盔甲")</f>
        <v>平安盔甲</v>
      </c>
      <c r="K123" s="25" t="str">
        <f ca="1">IFERROR(__xludf.DUMMYFUNCTION("GOOGLETRANSLATE(B123, ""en"", ""vi"")"),"Giáp dungium")</f>
        <v>Giáp dungium</v>
      </c>
      <c r="L123" s="26" t="str">
        <f ca="1">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spans="1:28" ht="56" x14ac:dyDescent="0.15">
      <c r="A124" s="21" t="s">
        <v>618</v>
      </c>
      <c r="B124" s="22" t="s">
        <v>619</v>
      </c>
      <c r="C124" s="23" t="str">
        <f ca="1">IFERROR(__xludf.DUMMYFUNCTION("GOOGLETRANSLATE(B124, ""en"", ""fr"")"),"Brillant! Augmente votre statistique de mêlée tout en porté.")</f>
        <v>Brillant! Augmente votre statistique de mêlée tout en porté.</v>
      </c>
      <c r="D124" s="23" t="str">
        <f ca="1">IFERROR(__xludf.DUMMYFUNCTION("GOOGLETRANSLATE(B124, ""en"", ""es"")"),"¡Brillante! Aumenta tu estadística de Melee mientras se usa.")</f>
        <v>¡Brillante! Aumenta tu estadística de Melee mientras se usa.</v>
      </c>
      <c r="E124" s="23" t="str">
        <f ca="1">IFERROR(__xludf.DUMMYFUNCTION("GOOGLETRANSLATE(B124, ""en"", ""ru"")"),"Блестящий! Увеличивает вашу статую ближнего боя в ношу.")</f>
        <v>Блестящий! Увеличивает вашу статую ближнего боя в ношу.</v>
      </c>
      <c r="F124" s="23" t="str">
        <f ca="1">IFERROR(__xludf.DUMMYFUNCTION("GOOGLETRANSLATE(B124, ""en"", ""tr"")"),"Parlak! Yıpranırken yakın dövüş statünüzü arttırır.")</f>
        <v>Parlak! Yıpranırken yakın dövüş statünüzü arttırır.</v>
      </c>
      <c r="G124" s="23" t="str">
        <f ca="1">IFERROR(__xludf.DUMMYFUNCTION("GOOGLETRANSLATE(B124, ""en"", ""pt"")"),"Brilhante! Aumenta sua estatística corpo-a-corpo enquanto estiver desgastada.")</f>
        <v>Brilhante! Aumenta sua estatística corpo-a-corpo enquanto estiver desgastada.</v>
      </c>
      <c r="H124" s="24" t="str">
        <f ca="1">IFERROR(__xludf.DUMMYFUNCTION("GOOGLETRANSLATE(B124, ""en"", ""de"")"),"Glänzend! Erhöht Ihren Nahkampfstat während getragen.")</f>
        <v>Glänzend! Erhöht Ihren Nahkampfstat während getragen.</v>
      </c>
      <c r="I124" s="23" t="str">
        <f ca="1">IFERROR(__xludf.DUMMYFUNCTION("GOOGLETRANSLATE(B124, ""en"", ""pl"")"),"Błyszczący! Zwiększa statystykę w walce w walce podczas noszenia.")</f>
        <v>Błyszczący! Zwiększa statystykę w walce w walce podczas noszenia.</v>
      </c>
      <c r="J124" s="25" t="str">
        <f ca="1">IFERROR(__xludf.DUMMYFUNCTION("GOOGLETRANSLATE(B124, ""en"", ""zh"")"),"闪亮的！磨损时增加了近战统计数据。")</f>
        <v>闪亮的！磨损时增加了近战统计数据。</v>
      </c>
      <c r="K124" s="25" t="str">
        <f ca="1">IFERROR(__xludf.DUMMYFUNCTION("GOOGLETRANSLATE(B124, ""en"", ""vi"")"),"Sáng bóng! Tăng số liệu thống kê cận chiến của bạn trong khi bị mòn.")</f>
        <v>Sáng bóng! Tăng số liệu thống kê cận chiến của bạn trong khi bị mòn.</v>
      </c>
      <c r="L124" s="26" t="str">
        <f ca="1">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spans="1:28" ht="28" x14ac:dyDescent="0.15">
      <c r="A125" s="21" t="s">
        <v>620</v>
      </c>
      <c r="B125" s="22" t="s">
        <v>621</v>
      </c>
      <c r="C125" s="23" t="str">
        <f ca="1">IFERROR(__xludf.DUMMYFUNCTION("GOOGLETRANSLATE(B125, ""en"", ""fr"")"),"Hache d'agonite")</f>
        <v>Hache d'agonite</v>
      </c>
      <c r="D125" s="23" t="str">
        <f ca="1">IFERROR(__xludf.DUMMYFUNCTION("GOOGLETRANSLATE(B125, ""en"", ""es"")"),"Hacha de agonita")</f>
        <v>Hacha de agonita</v>
      </c>
      <c r="E125" s="23" t="str">
        <f ca="1">IFERROR(__xludf.DUMMYFUNCTION("GOOGLETRANSLATE(B125, ""en"", ""ru"")"),"Агонит топора")</f>
        <v>Агонит топора</v>
      </c>
      <c r="F125" s="23" t="str">
        <f ca="1">IFERROR(__xludf.DUMMYFUNCTION("GOOGLETRANSLATE(B125, ""en"", ""tr"")"),"Agonite balta")</f>
        <v>Agonite balta</v>
      </c>
      <c r="G125" s="23" t="str">
        <f ca="1">IFERROR(__xludf.DUMMYFUNCTION("GOOGLETRANSLATE(B125, ""en"", ""pt"")"),"Machadinha de agonite.")</f>
        <v>Machadinha de agonite.</v>
      </c>
      <c r="H125" s="24" t="str">
        <f ca="1">IFERROR(__xludf.DUMMYFUNCTION("GOOGLETRANSLATE(B125, ""en"", ""de"")"),"Agonite-Beil")</f>
        <v>Agonite-Beil</v>
      </c>
      <c r="I125" s="23" t="str">
        <f ca="1">IFERROR(__xludf.DUMMYFUNCTION("GOOGLETRANSLATE(B125, ""en"", ""pl"")"),"Agonite Hatchet.")</f>
        <v>Agonite Hatchet.</v>
      </c>
      <c r="J125" s="25" t="str">
        <f ca="1">IFERROR(__xludf.DUMMYFUNCTION("GOOGLETRANSLATE(B125, ""en"", ""zh"")"),"艾莫尼斯柴刀")</f>
        <v>艾莫尼斯柴刀</v>
      </c>
      <c r="K125" s="25" t="str">
        <f ca="1">IFERROR(__xludf.DUMMYFUNCTION("GOOGLETRANSLATE(B125, ""en"", ""vi"")"),"Agonite hatchet.")</f>
        <v>Agonite hatchet.</v>
      </c>
      <c r="L125" s="26" t="str">
        <f ca="1">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spans="1:28" ht="42" x14ac:dyDescent="0.15">
      <c r="A126" s="21" t="s">
        <v>622</v>
      </c>
      <c r="B126" s="22" t="s">
        <v>560</v>
      </c>
      <c r="C126" s="23" t="str">
        <f ca="1">IFERROR(__xludf.DUMMYFUNCTION("GOOGLETRANSLATE(B126, ""en"", ""fr"")"),"Utilisé pour couper les arbres pour le bois.")</f>
        <v>Utilisé pour couper les arbres pour le bois.</v>
      </c>
      <c r="D126" s="23" t="str">
        <f ca="1">IFERROR(__xludf.DUMMYFUNCTION("GOOGLETRANSLATE(B126, ""en"", ""es"")"),"Se utiliza para cortar árboles para la madera.")</f>
        <v>Se utiliza para cortar árboles para la madera.</v>
      </c>
      <c r="E126" s="23" t="str">
        <f ca="1">IFERROR(__xludf.DUMMYFUNCTION("GOOGLETRANSLATE(B126, ""en"", ""ru"")"),"Используется для измельчения деревьев для дерева.")</f>
        <v>Используется для измельчения деревьев для дерева.</v>
      </c>
      <c r="F126" s="23" t="str">
        <f ca="1">IFERROR(__xludf.DUMMYFUNCTION("GOOGLETRANSLATE(B126, ""en"", ""tr"")"),"Ağaçları ahşap için kesmek için kullanılır.")</f>
        <v>Ağaçları ahşap için kesmek için kullanılır.</v>
      </c>
      <c r="G126" s="23" t="str">
        <f ca="1">IFERROR(__xludf.DUMMYFUNCTION("GOOGLETRANSLATE(B126, ""en"", ""pt"")"),"Usado para cortar árvores para madeira.")</f>
        <v>Usado para cortar árvores para madeira.</v>
      </c>
      <c r="H126" s="24" t="str">
        <f ca="1">IFERROR(__xludf.DUMMYFUNCTION("GOOGLETRANSLATE(B126, ""en"", ""de"")"),"Verwendet, um Bäume für Holz zu hacken.")</f>
        <v>Verwendet, um Bäume für Holz zu hacken.</v>
      </c>
      <c r="I126" s="23" t="str">
        <f ca="1">IFERROR(__xludf.DUMMYFUNCTION("GOOGLETRANSLATE(B126, ""en"", ""pl"")"),"Służy do spięcia drzew do drewna.")</f>
        <v>Służy do spięcia drzew do drewna.</v>
      </c>
      <c r="J126" s="25" t="str">
        <f ca="1">IFERROR(__xludf.DUMMYFUNCTION("GOOGLETRANSLATE(B126, ""en"", ""zh"")"),"用来砍伐树木的树木。")</f>
        <v>用来砍伐树木的树木。</v>
      </c>
      <c r="K126" s="25" t="str">
        <f ca="1">IFERROR(__xludf.DUMMYFUNCTION("GOOGLETRANSLATE(B126, ""en"", ""vi"")"),"Dùng để chặt cây cho gỗ.")</f>
        <v>Dùng để chặt cây cho gỗ.</v>
      </c>
      <c r="L126" s="26" t="str">
        <f ca="1">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spans="1:28" ht="14" x14ac:dyDescent="0.15">
      <c r="A127" s="21" t="s">
        <v>623</v>
      </c>
      <c r="B127" s="22" t="s">
        <v>624</v>
      </c>
      <c r="C127" s="23" t="str">
        <f ca="1">IFERROR(__xludf.DUMMYFUNCTION("GOOGLETRANSLATE(B127, ""en"", ""fr"")"),"Agonite Pickaxe")</f>
        <v>Agonite Pickaxe</v>
      </c>
      <c r="D127" s="23" t="str">
        <f ca="1">IFERROR(__xludf.DUMMYFUNCTION("GOOGLETRANSLATE(B127, ""en"", ""es"")"),"Pico de agonita")</f>
        <v>Pico de agonita</v>
      </c>
      <c r="E127" s="23" t="str">
        <f ca="1">IFERROR(__xludf.DUMMYFUNCTION("GOOGLETRANSLATE(B127, ""en"", ""ru"")"),"Агонита Пикакс")</f>
        <v>Агонита Пикакс</v>
      </c>
      <c r="F127" s="23" t="str">
        <f ca="1">IFERROR(__xludf.DUMMYFUNCTION("GOOGLETRANSLATE(B127, ""en"", ""tr"")"),"Agonite kazma")</f>
        <v>Agonite kazma</v>
      </c>
      <c r="G127" s="23" t="str">
        <f ca="1">IFERROR(__xludf.DUMMYFUNCTION("GOOGLETRANSLATE(B127, ""en"", ""pt"")"),"Agonite picaxe.")</f>
        <v>Agonite picaxe.</v>
      </c>
      <c r="H127" s="24" t="str">
        <f ca="1">IFERROR(__xludf.DUMMYFUNCTION("GOOGLETRANSLATE(B127, ""en"", ""de"")"),"Agonite Picker")</f>
        <v>Agonite Picker</v>
      </c>
      <c r="I127" s="23" t="str">
        <f ca="1">IFERROR(__xludf.DUMMYFUNCTION("GOOGLETRANSLATE(B127, ""en"", ""pl"")"),"Agonite Pickaxe.")</f>
        <v>Agonite Pickaxe.</v>
      </c>
      <c r="J127" s="25" t="str">
        <f ca="1">IFERROR(__xludf.DUMMYFUNCTION("GOOGLETRANSLATE(B127, ""en"", ""zh"")"),"Agonite镐")</f>
        <v>Agonite镐</v>
      </c>
      <c r="K127" s="25" t="str">
        <f ca="1">IFERROR(__xludf.DUMMYFUNCTION("GOOGLETRANSLATE(B127, ""en"", ""vi"")"),"Agonite Pickaxe.")</f>
        <v>Agonite Pickaxe.</v>
      </c>
      <c r="L127" s="26" t="str">
        <f ca="1">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spans="1:28" ht="28" x14ac:dyDescent="0.15">
      <c r="A128" s="21" t="s">
        <v>625</v>
      </c>
      <c r="B128" s="22" t="s">
        <v>564</v>
      </c>
      <c r="C128" s="23" t="str">
        <f ca="1">IFERROR(__xludf.DUMMYFUNCTION("GOOGLETRANSLATE(B128, ""en"", ""fr"")"),"Utilisé pour mine rochers pour minerai.")</f>
        <v>Utilisé pour mine rochers pour minerai.</v>
      </c>
      <c r="D128" s="23" t="str">
        <f ca="1">IFERROR(__xludf.DUMMYFUNCTION("GOOGLETRANSLATE(B128, ""en"", ""es"")"),"Acostumbrado a minar rocas para mineral.")</f>
        <v>Acostumbrado a minar rocas para mineral.</v>
      </c>
      <c r="E128" s="23" t="str">
        <f ca="1">IFERROR(__xludf.DUMMYFUNCTION("GOOGLETRANSLATE(B128, ""en"", ""ru"")"),"Используется для моих скал для руды.")</f>
        <v>Используется для моих скал для руды.</v>
      </c>
      <c r="F128" s="23" t="str">
        <f ca="1">IFERROR(__xludf.DUMMYFUNCTION("GOOGLETRANSLATE(B128, ""en"", ""tr"")"),"Cevher için kayalar için kullanılır.")</f>
        <v>Cevher için kayalar için kullanılır.</v>
      </c>
      <c r="G128" s="23" t="str">
        <f ca="1">IFERROR(__xludf.DUMMYFUNCTION("GOOGLETRANSLATE(B128, ""en"", ""pt"")"),"Usado para minerar pedras para minério.")</f>
        <v>Usado para minerar pedras para minério.</v>
      </c>
      <c r="H128" s="24" t="str">
        <f ca="1">IFERROR(__xludf.DUMMYFUNCTION("GOOGLETRANSLATE(B128, ""en"", ""de"")"),"Verwendet, um Felsen für Erz zu gestalten.")</f>
        <v>Verwendet, um Felsen für Erz zu gestalten.</v>
      </c>
      <c r="I128" s="23" t="str">
        <f ca="1">IFERROR(__xludf.DUMMYFUNCTION("GOOGLETRANSLATE(B128, ""en"", ""pl"")"),"Używane do moich skał dla rudy.")</f>
        <v>Używane do moich skał dla rudy.</v>
      </c>
      <c r="J128" s="25" t="str">
        <f ca="1">IFERROR(__xludf.DUMMYFUNCTION("GOOGLETRANSLATE(B128, ""en"", ""zh"")"),"用于挖掘矿石的岩石。")</f>
        <v>用于挖掘矿石的岩石。</v>
      </c>
      <c r="K128" s="25" t="str">
        <f ca="1">IFERROR(__xludf.DUMMYFUNCTION("GOOGLETRANSLATE(B128, ""en"", ""vi"")"),"Được sử dụng để khai thác đá cho quặng.")</f>
        <v>Được sử dụng để khai thác đá cho quặng.</v>
      </c>
      <c r="L128" s="26" t="str">
        <f ca="1">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spans="1:28" ht="14" x14ac:dyDescent="0.15">
      <c r="A129" s="21" t="s">
        <v>626</v>
      </c>
      <c r="B129" s="22" t="s">
        <v>627</v>
      </c>
      <c r="C129" s="23" t="str">
        <f ca="1">IFERROR(__xludf.DUMMYFUNCTION("GOOGLETRANSLATE(B129, ""en"", ""fr"")"),"Fauconite")</f>
        <v>Fauconite</v>
      </c>
      <c r="D129" s="23" t="str">
        <f ca="1">IFERROR(__xludf.DUMMYFUNCTION("GOOGLETRANSLATE(B129, ""en"", ""es"")"),"Hoz de agonita")</f>
        <v>Hoz de agonita</v>
      </c>
      <c r="E129" s="23" t="str">
        <f ca="1">IFERROR(__xludf.DUMMYFUNCTION("GOOGLETRANSLATE(B129, ""en"", ""ru"")"),"Агонит серп")</f>
        <v>Агонит серп</v>
      </c>
      <c r="F129" s="23" t="str">
        <f ca="1">IFERROR(__xludf.DUMMYFUNCTION("GOOGLETRANSLATE(B129, ""en"", ""tr"")"),"Agonit orak")</f>
        <v>Agonit orak</v>
      </c>
      <c r="G129" s="23" t="str">
        <f ca="1">IFERROR(__xludf.DUMMYFUNCTION("GOOGLETRANSLATE(B129, ""en"", ""pt"")"),"Foice de agonite")</f>
        <v>Foice de agonite</v>
      </c>
      <c r="H129" s="24" t="str">
        <f ca="1">IFERROR(__xludf.DUMMYFUNCTION("GOOGLETRANSLATE(B129, ""en"", ""de"")"),"Agonite Sichel")</f>
        <v>Agonite Sichel</v>
      </c>
      <c r="I129" s="23" t="str">
        <f ca="1">IFERROR(__xludf.DUMMYFUNCTION("GOOGLETRANSLATE(B129, ""en"", ""pl"")"),"Sierp Agonite.")</f>
        <v>Sierp Agonite.</v>
      </c>
      <c r="J129" s="25" t="str">
        <f ca="1">IFERROR(__xludf.DUMMYFUNCTION("GOOGLETRANSLATE(B129, ""en"", ""zh"")"),"艾莫氏镰刀")</f>
        <v>艾莫氏镰刀</v>
      </c>
      <c r="K129" s="25" t="str">
        <f ca="1">IFERROR(__xludf.DUMMYFUNCTION("GOOGLETRANSLATE(B129, ""en"", ""vi"")"),"Lưỡi liềm Agonite")</f>
        <v>Lưỡi liềm Agonite</v>
      </c>
      <c r="L129" s="26" t="str">
        <f ca="1">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spans="1:28" ht="28" x14ac:dyDescent="0.15">
      <c r="A130" s="21" t="s">
        <v>628</v>
      </c>
      <c r="B130" s="22" t="s">
        <v>574</v>
      </c>
      <c r="C130" s="23" t="str">
        <f ca="1">IFERROR(__xludf.DUMMYFUNCTION("GOOGLETRANSLATE(B130, ""en"", ""fr"")"),"Utilisé pour recueillir des plantes.")</f>
        <v>Utilisé pour recueillir des plantes.</v>
      </c>
      <c r="D130" s="23" t="str">
        <f ca="1">IFERROR(__xludf.DUMMYFUNCTION("GOOGLETRANSLATE(B130, ""en"", ""es"")"),"Se utiliza para recoger plantas.")</f>
        <v>Se utiliza para recoger plantas.</v>
      </c>
      <c r="E130" s="23" t="str">
        <f ca="1">IFERROR(__xludf.DUMMYFUNCTION("GOOGLETRANSLATE(B130, ""en"", ""ru"")"),"Используется для собрания растений.")</f>
        <v>Используется для собрания растений.</v>
      </c>
      <c r="F130" s="23" t="str">
        <f ca="1">IFERROR(__xludf.DUMMYFUNCTION("GOOGLETRANSLATE(B130, ""en"", ""tr"")"),"Bitkileri toplamak için kullanılır.")</f>
        <v>Bitkileri toplamak için kullanılır.</v>
      </c>
      <c r="G130" s="23" t="str">
        <f ca="1">IFERROR(__xludf.DUMMYFUNCTION("GOOGLETRANSLATE(B130, ""en"", ""pt"")"),"Usado para reunir plantas.")</f>
        <v>Usado para reunir plantas.</v>
      </c>
      <c r="H130" s="24" t="str">
        <f ca="1">IFERROR(__xludf.DUMMYFUNCTION("GOOGLETRANSLATE(B130, ""en"", ""de"")"),"Verwendet, um Pflanzen zu sammeln.")</f>
        <v>Verwendet, um Pflanzen zu sammeln.</v>
      </c>
      <c r="I130" s="23" t="str">
        <f ca="1">IFERROR(__xludf.DUMMYFUNCTION("GOOGLETRANSLATE(B130, ""en"", ""pl"")"),"Używane do zbierania roślin.")</f>
        <v>Używane do zbierania roślin.</v>
      </c>
      <c r="J130" s="25" t="str">
        <f ca="1">IFERROR(__xludf.DUMMYFUNCTION("GOOGLETRANSLATE(B130, ""en"", ""zh"")"),"用来收集植物。")</f>
        <v>用来收集植物。</v>
      </c>
      <c r="K130" s="25" t="str">
        <f ca="1">IFERROR(__xludf.DUMMYFUNCTION("GOOGLETRANSLATE(B130, ""en"", ""vi"")"),"Dùng để thu thập cây.")</f>
        <v>Dùng để thu thập cây.</v>
      </c>
      <c r="L130" s="26" t="str">
        <f ca="1">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spans="1:28" ht="14" x14ac:dyDescent="0.15">
      <c r="A131" s="21" t="s">
        <v>629</v>
      </c>
      <c r="B131" s="22" t="s">
        <v>630</v>
      </c>
      <c r="C131" s="23" t="str">
        <f ca="1">IFERROR(__xludf.DUMMYFUNCTION("GOOGLETRANSLATE(B131, ""en"", ""fr"")"),"Flèches d'agonite")</f>
        <v>Flèches d'agonite</v>
      </c>
      <c r="D131" s="23" t="str">
        <f ca="1">IFERROR(__xludf.DUMMYFUNCTION("GOOGLETRANSLATE(B131, ""en"", ""es"")"),"Flechas de agonita")</f>
        <v>Flechas de agonita</v>
      </c>
      <c r="E131" s="23" t="str">
        <f ca="1">IFERROR(__xludf.DUMMYFUNCTION("GOOGLETRANSLATE(B131, ""en"", ""ru"")"),"Стрелы агонита")</f>
        <v>Стрелы агонита</v>
      </c>
      <c r="F131" s="23" t="str">
        <f ca="1">IFERROR(__xludf.DUMMYFUNCTION("GOOGLETRANSLATE(B131, ""en"", ""tr"")"),"Agonite okları")</f>
        <v>Agonite okları</v>
      </c>
      <c r="G131" s="23" t="str">
        <f ca="1">IFERROR(__xludf.DUMMYFUNCTION("GOOGLETRANSLATE(B131, ""en"", ""pt"")"),"Flechas de agonite")</f>
        <v>Flechas de agonite</v>
      </c>
      <c r="H131" s="24" t="str">
        <f ca="1">IFERROR(__xludf.DUMMYFUNCTION("GOOGLETRANSLATE(B131, ""en"", ""de"")"),"Agonitpfeile")</f>
        <v>Agonitpfeile</v>
      </c>
      <c r="I131" s="23" t="str">
        <f ca="1">IFERROR(__xludf.DUMMYFUNCTION("GOOGLETRANSLATE(B131, ""en"", ""pl"")"),"Agonite strzałki")</f>
        <v>Agonite strzałki</v>
      </c>
      <c r="J131" s="25" t="str">
        <f ca="1">IFERROR(__xludf.DUMMYFUNCTION("GOOGLETRANSLATE(B131, ""en"", ""zh"")"),"Agonite箭头")</f>
        <v>Agonite箭头</v>
      </c>
      <c r="K131" s="25" t="str">
        <f ca="1">IFERROR(__xludf.DUMMYFUNCTION("GOOGLETRANSLATE(B131, ""en"", ""vi"")"),"Mũi tên Agonite")</f>
        <v>Mũi tên Agonite</v>
      </c>
      <c r="L131" s="26" t="str">
        <f ca="1">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spans="1:28" ht="42" x14ac:dyDescent="0.15">
      <c r="A132" s="21" t="s">
        <v>631</v>
      </c>
      <c r="B132" s="22" t="s">
        <v>578</v>
      </c>
      <c r="C132" s="23" t="str">
        <f ca="1">IFERROR(__xludf.DUMMYFUNCTION("GOOGLETRANSLATE(B132, ""en"", ""fr"")"),"Utilisé comme munition pour un arc.")</f>
        <v>Utilisé comme munition pour un arc.</v>
      </c>
      <c r="D132" s="23" t="str">
        <f ca="1">IFERROR(__xludf.DUMMYFUNCTION("GOOGLETRANSLATE(B132, ""en"", ""es"")"),"Utilizado como municiones para un arco.")</f>
        <v>Utilizado como municiones para un arco.</v>
      </c>
      <c r="E132" s="23" t="str">
        <f ca="1">IFERROR(__xludf.DUMMYFUNCTION("GOOGLETRANSLATE(B132, ""en"", ""ru"")"),"Используется в качестве боеприпасов для лука.")</f>
        <v>Используется в качестве боеприпасов для лука.</v>
      </c>
      <c r="F132" s="23" t="str">
        <f ca="1">IFERROR(__xludf.DUMMYFUNCTION("GOOGLETRANSLATE(B132, ""en"", ""tr"")"),"Bir yay için mühimmat olarak kullanılır.")</f>
        <v>Bir yay için mühimmat olarak kullanılır.</v>
      </c>
      <c r="G132" s="23" t="str">
        <f ca="1">IFERROR(__xludf.DUMMYFUNCTION("GOOGLETRANSLATE(B132, ""en"", ""pt"")"),"Usado como munição para um arco.")</f>
        <v>Usado como munição para um arco.</v>
      </c>
      <c r="H132" s="24" t="str">
        <f ca="1">IFERROR(__xludf.DUMMYFUNCTION("GOOGLETRANSLATE(B132, ""en"", ""de"")"),"Als Munition für einen Bogen verwendet.")</f>
        <v>Als Munition für einen Bogen verwendet.</v>
      </c>
      <c r="I132" s="23" t="str">
        <f ca="1">IFERROR(__xludf.DUMMYFUNCTION("GOOGLETRANSLATE(B132, ""en"", ""pl"")"),"Używany jako amunicja na łuk.")</f>
        <v>Używany jako amunicja na łuk.</v>
      </c>
      <c r="J132" s="25" t="str">
        <f ca="1">IFERROR(__xludf.DUMMYFUNCTION("GOOGLETRANSLATE(B132, ""en"", ""zh"")"),"用作弓的弹药。")</f>
        <v>用作弓的弹药。</v>
      </c>
      <c r="K132" s="25" t="str">
        <f ca="1">IFERROR(__xludf.DUMMYFUNCTION("GOOGLETRANSLATE(B132, ""en"", ""vi"")"),"Dùng làm đạn cho một cây cung.")</f>
        <v>Dùng làm đạn cho một cây cung.</v>
      </c>
      <c r="L132" s="26" t="str">
        <f ca="1">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spans="1:28" ht="14" x14ac:dyDescent="0.15">
      <c r="A133" s="21" t="s">
        <v>632</v>
      </c>
      <c r="B133" s="22" t="s">
        <v>633</v>
      </c>
      <c r="C133" s="23" t="str">
        <f ca="1">IFERROR(__xludf.DUMMYFUNCTION("GOOGLETRANSLATE(B133, ""en"", ""fr"")"),"Angonite poignard")</f>
        <v>Angonite poignard</v>
      </c>
      <c r="D133" s="23" t="str">
        <f ca="1">IFERROR(__xludf.DUMMYFUNCTION("GOOGLETRANSLATE(B133, ""en"", ""es"")"),"Daga de agonita")</f>
        <v>Daga de agonita</v>
      </c>
      <c r="E133" s="23" t="str">
        <f ca="1">IFERROR(__xludf.DUMMYFUNCTION("GOOGLETRANSLATE(B133, ""en"", ""ru"")"),"Агонитный кинжал")</f>
        <v>Агонитный кинжал</v>
      </c>
      <c r="F133" s="23" t="str">
        <f ca="1">IFERROR(__xludf.DUMMYFUNCTION("GOOGLETRANSLATE(B133, ""en"", ""tr"")"),"Agonite hançer")</f>
        <v>Agonite hançer</v>
      </c>
      <c r="G133" s="23" t="str">
        <f ca="1">IFERROR(__xludf.DUMMYFUNCTION("GOOGLETRANSLATE(B133, ""en"", ""pt"")"),"Punhal de agonite")</f>
        <v>Punhal de agonite</v>
      </c>
      <c r="H133" s="24" t="str">
        <f ca="1">IFERROR(__xludf.DUMMYFUNCTION("GOOGLETRANSLATE(B133, ""en"", ""de"")"),"Agonite Dolch.")</f>
        <v>Agonite Dolch.</v>
      </c>
      <c r="I133" s="23" t="str">
        <f ca="1">IFERROR(__xludf.DUMMYFUNCTION("GOOGLETRANSLATE(B133, ""en"", ""pl"")"),"Agonite sztylet.")</f>
        <v>Agonite sztylet.</v>
      </c>
      <c r="J133" s="25" t="str">
        <f ca="1">IFERROR(__xludf.DUMMYFUNCTION("GOOGLETRANSLATE(B133, ""en"", ""zh"")"),"艾蒙蒂匕首")</f>
        <v>艾蒙蒂匕首</v>
      </c>
      <c r="K133" s="25" t="str">
        <f ca="1">IFERROR(__xludf.DUMMYFUNCTION("GOOGLETRANSLATE(B133, ""en"", ""vi"")"),"Dagger agonite")</f>
        <v>Dagger agonite</v>
      </c>
      <c r="L133" s="26" t="str">
        <f ca="1">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spans="1:28" ht="70" x14ac:dyDescent="0.15">
      <c r="A134" s="21" t="s">
        <v>634</v>
      </c>
      <c r="B134" s="22" t="s">
        <v>582</v>
      </c>
      <c r="C134" s="23" t="str">
        <f ca="1">IFERROR(__xludf.DUMMYFUNCTION("GOOGLETRANSLATE(B134, ""en"", ""fr"")"),"Une arme de mêlée à courte portée. Traite des dégâts de bonus quand il frappe derrière lui.")</f>
        <v>Une arme de mêlée à courte portée. Traite des dégâts de bonus quand il frappe derrière lui.</v>
      </c>
      <c r="D134" s="23" t="str">
        <f ca="1">IFERROR(__xludf.DUMMYFUNCTION("GOOGLETRANSLATE(B134, ""en"", ""es"")"),"Un breve arma cuerpo a cuerpo. Ofrece daño de bonificación cuando llega por detrás.")</f>
        <v>Un breve arma cuerpo a cuerpo. Ofrece daño de bonificación cuando llega por detrás.</v>
      </c>
      <c r="E134" s="23" t="str">
        <f ca="1">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 ca="1">IFERROR(__xludf.DUMMYFUNCTION("GOOGLETRANSLATE(B134, ""en"", ""tr"")"),"Kısa menzilli bir yakın dövüş silahı. Arkadan isabet ettiğinde bonus hasarı fırsatlar.")</f>
        <v>Kısa menzilli bir yakın dövüş silahı. Arkadan isabet ettiğinde bonus hasarı fırsatlar.</v>
      </c>
      <c r="G134" s="23" t="str">
        <f ca="1">IFERROR(__xludf.DUMMYFUNCTION("GOOGLETRANSLATE(B134, ""en"", ""pt"")"),"Uma arma de corpo a corpo de curto alcance. Oferece dano de bônus quando atinge por trás.")</f>
        <v>Uma arma de corpo a corpo de curto alcance. Oferece dano de bônus quando atinge por trás.</v>
      </c>
      <c r="H134" s="24" t="str">
        <f ca="1">IFERROR(__xludf.DUMMYFUNCTION("GOOGLETRANSLATE(B134, ""en"", ""de"")"),"Eine kurze Reichweite-Nahkampfwaffe. Befasst sich mit Bonusschäden, wenn sie von hinten trifft.")</f>
        <v>Eine kurze Reichweite-Nahkampfwaffe. Befasst sich mit Bonusschäden, wenn sie von hinten trifft.</v>
      </c>
      <c r="I134" s="23" t="str">
        <f ca="1">IFERROR(__xludf.DUMMYFUNCTION("GOOGLETRANSLATE(B134, ""en"", ""pl"")"),"Broń wręcz broni. Oferty bonusowe uszkodzenia, gdy uderza od tyłu.")</f>
        <v>Broń wręcz broni. Oferty bonusowe uszkodzenia, gdy uderza od tyłu.</v>
      </c>
      <c r="J134" s="25" t="str">
        <f ca="1">IFERROR(__xludf.DUMMYFUNCTION("GOOGLETRANSLATE(B134, ""en"", ""zh"")"),"短程近战武器。从后面击中时造成奖金损坏。")</f>
        <v>短程近战武器。从后面击中时造成奖金损坏。</v>
      </c>
      <c r="K134" s="25" t="str">
        <f ca="1">IFERROR(__xludf.DUMMYFUNCTION("GOOGLETRANSLATE(B134, ""en"", ""vi"")"),"Một vũ khí cận chiến ngắn. Gây sát thương tiền thưởng khi nó đánh từ phía sau.")</f>
        <v>Một vũ khí cận chiến ngắn. Gây sát thương tiền thưởng khi nó đánh từ phía sau.</v>
      </c>
      <c r="L134" s="26" t="str">
        <f ca="1">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spans="1:28" ht="14" x14ac:dyDescent="0.15">
      <c r="A135" s="21" t="s">
        <v>635</v>
      </c>
      <c r="B135" s="22" t="s">
        <v>636</v>
      </c>
      <c r="C135" s="23" t="str">
        <f ca="1">IFERROR(__xludf.DUMMYFUNCTION("GOOGLETRANSLATE(B135, ""en"", ""fr"")"),"Agonite Sword")</f>
        <v>Agonite Sword</v>
      </c>
      <c r="D135" s="23" t="str">
        <f ca="1">IFERROR(__xludf.DUMMYFUNCTION("GOOGLETRANSLATE(B135, ""en"", ""es"")"),"Espada de agonita")</f>
        <v>Espada de agonita</v>
      </c>
      <c r="E135" s="23" t="str">
        <f ca="1">IFERROR(__xludf.DUMMYFUNCTION("GOOGLETRANSLATE(B135, ""en"", ""ru"")"),"Агонит меч")</f>
        <v>Агонит меч</v>
      </c>
      <c r="F135" s="23" t="str">
        <f ca="1">IFERROR(__xludf.DUMMYFUNCTION("GOOGLETRANSLATE(B135, ""en"", ""tr"")"),"Agonit kılıç")</f>
        <v>Agonit kılıç</v>
      </c>
      <c r="G135" s="23" t="str">
        <f ca="1">IFERROR(__xludf.DUMMYFUNCTION("GOOGLETRANSLATE(B135, ""en"", ""pt"")"),"Espada de agonite")</f>
        <v>Espada de agonite</v>
      </c>
      <c r="H135" s="24" t="str">
        <f ca="1">IFERROR(__xludf.DUMMYFUNCTION("GOOGLETRANSLATE(B135, ""en"", ""de"")"),"Agonitschwert")</f>
        <v>Agonitschwert</v>
      </c>
      <c r="I135" s="23" t="str">
        <f ca="1">IFERROR(__xludf.DUMMYFUNCTION("GOOGLETRANSLATE(B135, ""en"", ""pl"")"),"Miecz agonite.")</f>
        <v>Miecz agonite.</v>
      </c>
      <c r="J135" s="25" t="str">
        <f ca="1">IFERROR(__xludf.DUMMYFUNCTION("GOOGLETRANSLATE(B135, ""en"", ""zh"")"),"艾莫尼石剑")</f>
        <v>艾莫尼石剑</v>
      </c>
      <c r="K135" s="25" t="str">
        <f ca="1">IFERROR(__xludf.DUMMYFUNCTION("GOOGLETRANSLATE(B135, ""en"", ""vi"")"),"Thanh kiếm Agonite.")</f>
        <v>Thanh kiếm Agonite.</v>
      </c>
      <c r="L135" s="26" t="str">
        <f ca="1">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spans="1:28" ht="70" x14ac:dyDescent="0.15">
      <c r="A136" s="21" t="s">
        <v>637</v>
      </c>
      <c r="B136" s="22" t="s">
        <v>586</v>
      </c>
      <c r="C136" s="23" t="str">
        <f ca="1">IFERROR(__xludf.DUMMYFUNCTION("GOOGLETRANSLATE(B136, ""en"", ""fr"")"),"Arme de mêlée. Utilisé pour attaquer une courte distance.")</f>
        <v>Arme de mêlée. Utilisé pour attaquer une courte distance.</v>
      </c>
      <c r="D136" s="23" t="str">
        <f ca="1">IFERROR(__xludf.DUMMYFUNCTION("GOOGLETRANSLATE(B136, ""en"", ""es"")"),"Arma cuerpo a cuerpo. Se utiliza para atacar a una corta distancia.")</f>
        <v>Arma cuerpo a cuerpo. Se utiliza para atacar a una corta distancia.</v>
      </c>
      <c r="E136" s="23" t="str">
        <f ca="1">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 ca="1">IFERROR(__xludf.DUMMYFUNCTION("GOOGLETRANSLATE(B136, ""en"", ""tr"")"),"Yakın dövüş silahı. Kısa bir mesafeye saldırmak için kullanılır.")</f>
        <v>Yakın dövüş silahı. Kısa bir mesafeye saldırmak için kullanılır.</v>
      </c>
      <c r="G136" s="23" t="str">
        <f ca="1">IFERROR(__xludf.DUMMYFUNCTION("GOOGLETRANSLATE(B136, ""en"", ""pt"")"),"Arma branca. Usado para atacar uma curta distância.")</f>
        <v>Arma branca. Usado para atacar uma curta distância.</v>
      </c>
      <c r="H136" s="24" t="str">
        <f ca="1">IFERROR(__xludf.DUMMYFUNCTION("GOOGLETRANSLATE(B136, ""en"", ""de"")"),"Nahkampfwaffe. Verwendet, um eine kurze Entfernung anzugreifen.")</f>
        <v>Nahkampfwaffe. Verwendet, um eine kurze Entfernung anzugreifen.</v>
      </c>
      <c r="I136" s="23" t="str">
        <f ca="1">IFERROR(__xludf.DUMMYFUNCTION("GOOGLETRANSLATE(B136, ""en"", ""pl"")"),"Broń biała. Używany do ataku w niewielkiej odległości.")</f>
        <v>Broń biała. Używany do ataku w niewielkiej odległości.</v>
      </c>
      <c r="J136" s="25" t="str">
        <f ca="1">IFERROR(__xludf.DUMMYFUNCTION("GOOGLETRANSLATE(B136, ""en"", ""zh"")"),"近战武器。用来攻击很短的距离。")</f>
        <v>近战武器。用来攻击很短的距离。</v>
      </c>
      <c r="K136" s="25" t="str">
        <f ca="1">IFERROR(__xludf.DUMMYFUNCTION("GOOGLETRANSLATE(B136, ""en"", ""vi"")"),"Vũ khí cận chiến. Được sử dụng để tấn công một khoảng cách ngắn đi.")</f>
        <v>Vũ khí cận chiến. Được sử dụng để tấn công một khoảng cách ngắn đi.</v>
      </c>
      <c r="L136" s="26" t="str">
        <f ca="1">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spans="1:28" ht="14" x14ac:dyDescent="0.15">
      <c r="A137" s="21" t="s">
        <v>638</v>
      </c>
      <c r="B137" s="22" t="s">
        <v>639</v>
      </c>
      <c r="C137" s="23" t="str">
        <f ca="1">IFERROR(__xludf.DUMMYFUNCTION("GOOGLETRANSLATE(B137, ""en"", ""fr"")"),"Agonite marteau")</f>
        <v>Agonite marteau</v>
      </c>
      <c r="D137" s="23" t="str">
        <f ca="1">IFERROR(__xludf.DUMMYFUNCTION("GOOGLETRANSLATE(B137, ""en"", ""es"")"),"Martillo de agonita")</f>
        <v>Martillo de agonita</v>
      </c>
      <c r="E137" s="23" t="str">
        <f ca="1">IFERROR(__xludf.DUMMYFUNCTION("GOOGLETRANSLATE(B137, ""en"", ""ru"")"),"Агонит молоток")</f>
        <v>Агонит молоток</v>
      </c>
      <c r="F137" s="23" t="str">
        <f ca="1">IFERROR(__xludf.DUMMYFUNCTION("GOOGLETRANSLATE(B137, ""en"", ""tr"")"),"Agonit çekiç")</f>
        <v>Agonit çekiç</v>
      </c>
      <c r="G137" s="23" t="str">
        <f ca="1">IFERROR(__xludf.DUMMYFUNCTION("GOOGLETRANSLATE(B137, ""en"", ""pt"")"),"Martelo de agonite")</f>
        <v>Martelo de agonite</v>
      </c>
      <c r="H137" s="24" t="str">
        <f ca="1">IFERROR(__xludf.DUMMYFUNCTION("GOOGLETRANSLATE(B137, ""en"", ""de"")"),"Agonithammer")</f>
        <v>Agonithammer</v>
      </c>
      <c r="I137" s="23" t="str">
        <f ca="1">IFERROR(__xludf.DUMMYFUNCTION("GOOGLETRANSLATE(B137, ""en"", ""pl"")"),"Agonite Hammer.")</f>
        <v>Agonite Hammer.</v>
      </c>
      <c r="J137" s="25" t="str">
        <f ca="1">IFERROR(__xludf.DUMMYFUNCTION("GOOGLETRANSLATE(B137, ""en"", ""zh"")"),"Agonite Hammer.")</f>
        <v>Agonite Hammer.</v>
      </c>
      <c r="K137" s="25" t="str">
        <f ca="1">IFERROR(__xludf.DUMMYFUNCTION("GOOGLETRANSLATE(B137, ""en"", ""vi"")"),"Búa agonite.")</f>
        <v>Búa agonite.</v>
      </c>
      <c r="L137" s="26" t="str">
        <f ca="1">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spans="1:28" ht="70" x14ac:dyDescent="0.15">
      <c r="A138" s="21" t="s">
        <v>640</v>
      </c>
      <c r="B138" s="22" t="s">
        <v>590</v>
      </c>
      <c r="C138" s="23" t="str">
        <f ca="1">IFERROR(__xludf.DUMMYFUNCTION("GOOGLETRANSLATE(B138, ""en"", ""fr"")"),"Arme de mêlée. Pousse les choses en arrière un espace quand il frappe.")</f>
        <v>Arme de mêlée. Pousse les choses en arrière un espace quand il frappe.</v>
      </c>
      <c r="D138" s="23" t="str">
        <f ca="1">IFERROR(__xludf.DUMMYFUNCTION("GOOGLETRANSLATE(B138, ""en"", ""es"")"),"Arma cuerpo a cuerpo. Empuja las cosas de vuelta un espacio cuando golpea.")</f>
        <v>Arma cuerpo a cuerpo. Empuja las cosas de vuelta un espacio cuando golpea.</v>
      </c>
      <c r="E138" s="23" t="str">
        <f ca="1">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 ca="1">IFERROR(__xludf.DUMMYFUNCTION("GOOGLETRANSLATE(B138, ""en"", ""tr"")"),"Yakın dövüş silahı. Şeyleri vururken bir şeyi geri iter.")</f>
        <v>Yakın dövüş silahı. Şeyleri vururken bir şeyi geri iter.</v>
      </c>
      <c r="G138" s="23" t="str">
        <f ca="1">IFERROR(__xludf.DUMMYFUNCTION("GOOGLETRANSLATE(B138, ""en"", ""pt"")"),"Arma branca. Empurra as coisas de volta um espaço quando ele atinge.")</f>
        <v>Arma branca. Empurra as coisas de volta um espaço quando ele atinge.</v>
      </c>
      <c r="H138" s="24" t="str">
        <f ca="1">IFERROR(__xludf.DUMMYFUNCTION("GOOGLETRANSLATE(B138, ""en"", ""de"")"),"Nahkampfwaffe. Schiebt die Dinge zurück, wenn es trifft.")</f>
        <v>Nahkampfwaffe. Schiebt die Dinge zurück, wenn es trifft.</v>
      </c>
      <c r="I138" s="23" t="str">
        <f ca="1">IFERROR(__xludf.DUMMYFUNCTION("GOOGLETRANSLATE(B138, ""en"", ""pl"")"),"Broń biała. Popycha rzeczy z powrotem jedną przestrzeń, gdy uderza.")</f>
        <v>Broń biała. Popycha rzeczy z powrotem jedną przestrzeń, gdy uderza.</v>
      </c>
      <c r="J138" s="25" t="str">
        <f ca="1">IFERROR(__xludf.DUMMYFUNCTION("GOOGLETRANSLATE(B138, ""en"", ""zh"")"),"近战武器。当它命中时，将物质推回一个空间。")</f>
        <v>近战武器。当它命中时，将物质推回一个空间。</v>
      </c>
      <c r="K138" s="25" t="str">
        <f ca="1">IFERROR(__xludf.DUMMYFUNCTION("GOOGLETRANSLATE(B138, ""en"", ""vi"")"),"Vũ khí cận chiến. Đẩy mọi thứ trở lại một không gian khi nó hit.")</f>
        <v>Vũ khí cận chiến. Đẩy mọi thứ trở lại một không gian khi nó hit.</v>
      </c>
      <c r="L138" s="26" t="str">
        <f ca="1">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spans="1:28" ht="14" x14ac:dyDescent="0.15">
      <c r="A139" s="21" t="s">
        <v>641</v>
      </c>
      <c r="B139" s="22" t="s">
        <v>642</v>
      </c>
      <c r="C139" s="23" t="str">
        <f ca="1">IFERROR(__xludf.DUMMYFUNCTION("GOOGLETRANSLATE(B139, ""en"", ""fr"")"),"Agonite Armor")</f>
        <v>Agonite Armor</v>
      </c>
      <c r="D139" s="23" t="str">
        <f ca="1">IFERROR(__xludf.DUMMYFUNCTION("GOOGLETRANSLATE(B139, ""en"", ""es"")"),"Armadura de agonita")</f>
        <v>Armadura de agonita</v>
      </c>
      <c r="E139" s="23" t="str">
        <f ca="1">IFERROR(__xludf.DUMMYFUNCTION("GOOGLETRANSLATE(B139, ""en"", ""ru"")"),"Агонитная броня")</f>
        <v>Агонитная броня</v>
      </c>
      <c r="F139" s="23" t="str">
        <f ca="1">IFERROR(__xludf.DUMMYFUNCTION("GOOGLETRANSLATE(B139, ""en"", ""tr"")"),"Agonite zırhı")</f>
        <v>Agonite zırhı</v>
      </c>
      <c r="G139" s="23" t="str">
        <f ca="1">IFERROR(__xludf.DUMMYFUNCTION("GOOGLETRANSLATE(B139, ""en"", ""pt"")"),"Armadura de agonite")</f>
        <v>Armadura de agonite</v>
      </c>
      <c r="H139" s="24" t="str">
        <f ca="1">IFERROR(__xludf.DUMMYFUNCTION("GOOGLETRANSLATE(B139, ""en"", ""de"")"),"Agonite-Rüstung")</f>
        <v>Agonite-Rüstung</v>
      </c>
      <c r="I139" s="23" t="str">
        <f ca="1">IFERROR(__xludf.DUMMYFUNCTION("GOOGLETRANSLATE(B139, ""en"", ""pl"")"),"Agonite Armor.")</f>
        <v>Agonite Armor.</v>
      </c>
      <c r="J139" s="25" t="str">
        <f ca="1">IFERROR(__xludf.DUMMYFUNCTION("GOOGLETRANSLATE(B139, ""en"", ""zh"")"),"Agonite Armor.")</f>
        <v>Agonite Armor.</v>
      </c>
      <c r="K139" s="25" t="str">
        <f ca="1">IFERROR(__xludf.DUMMYFUNCTION("GOOGLETRANSLATE(B139, ""en"", ""vi"")"),"Giáp Agonite")</f>
        <v>Giáp Agonite</v>
      </c>
      <c r="L139" s="26" t="str">
        <f ca="1">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spans="1:28" ht="70" x14ac:dyDescent="0.15">
      <c r="A140" s="21" t="s">
        <v>643</v>
      </c>
      <c r="B140" s="22" t="s">
        <v>644</v>
      </c>
      <c r="C140" s="23" t="str">
        <f ca="1">IFERROR(__xludf.DUMMYFUNCTION("GOOGLETRANSLATE(B140, ""en"", ""fr"")"),"Semble dangereux! Augmente votre statistique de mêlée tout en porté.")</f>
        <v>Semble dangereux! Augmente votre statistique de mêlée tout en porté.</v>
      </c>
      <c r="D140" s="23" t="str">
        <f ca="1">IFERROR(__xludf.DUMMYFUNCTION("GOOGLETRANSLATE(B140, ""en"", ""es"")"),"¡Se ve peligroso! Aumenta tu estadística de Melee mientras se usa.")</f>
        <v>¡Se ve peligroso! Aumenta tu estadística de Melee mientras se usa.</v>
      </c>
      <c r="E140" s="23" t="str">
        <f ca="1">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 ca="1">IFERROR(__xludf.DUMMYFUNCTION("GOOGLETRANSLATE(B140, ""en"", ""tr"")"),"Tehlikeli görünüyor! Yıpranırken yakın dövüş statünüzü arttırır.")</f>
        <v>Tehlikeli görünüyor! Yıpranırken yakın dövüş statünüzü arttırır.</v>
      </c>
      <c r="G140" s="23" t="str">
        <f ca="1">IFERROR(__xludf.DUMMYFUNCTION("GOOGLETRANSLATE(B140, ""en"", ""pt"")"),"Parece perigoso! Aumenta sua estatística corpo-a-corpo enquanto estiver desgastada.")</f>
        <v>Parece perigoso! Aumenta sua estatística corpo-a-corpo enquanto estiver desgastada.</v>
      </c>
      <c r="H140" s="24" t="str">
        <f ca="1">IFERROR(__xludf.DUMMYFUNCTION("GOOGLETRANSLATE(B140, ""en"", ""de"")"),"Sieht gefährlich aus! Erhöht Ihren Nahkampfstat während getragen.")</f>
        <v>Sieht gefährlich aus! Erhöht Ihren Nahkampfstat während getragen.</v>
      </c>
      <c r="I140" s="23" t="str">
        <f ca="1">IFERROR(__xludf.DUMMYFUNCTION("GOOGLETRANSLATE(B140, ""en"", ""pl"")"),"Wygląda niebezpiecznie! Zwiększa statystykę w walce w walce podczas noszenia.")</f>
        <v>Wygląda niebezpiecznie! Zwiększa statystykę w walce w walce podczas noszenia.</v>
      </c>
      <c r="J140" s="25" t="str">
        <f ca="1">IFERROR(__xludf.DUMMYFUNCTION("GOOGLETRANSLATE(B140, ""en"", ""zh"")"),"看起来很危险！磨损时增加了近战统计数据。")</f>
        <v>看起来很危险！磨损时增加了近战统计数据。</v>
      </c>
      <c r="K140" s="25" t="str">
        <f ca="1">IFERROR(__xludf.DUMMYFUNCTION("GOOGLETRANSLATE(B140, ""en"", ""vi"")"),"Trông thật nguy hiểm! Tăng số liệu thống kê cận chiến của bạn trong khi bị mòn.")</f>
        <v>Trông thật nguy hiểm! Tăng số liệu thống kê cận chiến của bạn trong khi bị mòn.</v>
      </c>
      <c r="L140" s="26" t="str">
        <f ca="1">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spans="1:28" ht="14" x14ac:dyDescent="0.15">
      <c r="A141" s="21" t="s">
        <v>645</v>
      </c>
      <c r="B141" s="22" t="s">
        <v>646</v>
      </c>
      <c r="C141" s="23" t="str">
        <f ca="1">IFERROR(__xludf.DUMMYFUNCTION("GOOGLETRANSLATE(B141, ""en"", ""fr"")"),"Noctishret")</f>
        <v>Noctishret</v>
      </c>
      <c r="D141" s="23" t="str">
        <f ca="1">IFERROR(__xludf.DUMMYFUNCTION("GOOGLETRANSLATE(B141, ""en"", ""es"")"),"Noctis hacha")</f>
        <v>Noctis hacha</v>
      </c>
      <c r="E141" s="23" t="str">
        <f ca="1">IFERROR(__xludf.DUMMYFUNCTION("GOOGLETRANSLATE(B141, ""en"", ""ru"")"),"Ноктис топора")</f>
        <v>Ноктис топора</v>
      </c>
      <c r="F141" s="23" t="str">
        <f ca="1">IFERROR(__xludf.DUMMYFUNCTION("GOOGLETRANSLATE(B141, ""en"", ""tr"")"),"Noctis balta")</f>
        <v>Noctis balta</v>
      </c>
      <c r="G141" s="23" t="str">
        <f ca="1">IFERROR(__xludf.DUMMYFUNCTION("GOOGLETRANSLATE(B141, ""en"", ""pt"")"),"Machadinha de noctis.")</f>
        <v>Machadinha de noctis.</v>
      </c>
      <c r="H141" s="24" t="str">
        <f ca="1">IFERROR(__xludf.DUMMYFUNCTION("GOOGLETRANSLATE(B141, ""en"", ""de"")"),"Noctis-Hatchet.")</f>
        <v>Noctis-Hatchet.</v>
      </c>
      <c r="I141" s="23" t="str">
        <f ca="1">IFERROR(__xludf.DUMMYFUNCTION("GOOGLETRANSLATE(B141, ""en"", ""pl"")"),"Noctis hatchet.")</f>
        <v>Noctis hatchet.</v>
      </c>
      <c r="J141" s="25" t="str">
        <f ca="1">IFERROR(__xludf.DUMMYFUNCTION("GOOGLETRANSLATE(B141, ""en"", ""zh"")"),"夜游柴油")</f>
        <v>夜游柴油</v>
      </c>
      <c r="K141" s="25" t="str">
        <f ca="1">IFERROR(__xludf.DUMMYFUNCTION("GOOGLETRANSLATE(B141, ""en"", ""vi"")"),"Noctis hatchet.")</f>
        <v>Noctis hatchet.</v>
      </c>
      <c r="L141" s="26" t="str">
        <f ca="1">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spans="1:28" ht="42" x14ac:dyDescent="0.15">
      <c r="A142" s="21" t="s">
        <v>647</v>
      </c>
      <c r="B142" s="22" t="s">
        <v>560</v>
      </c>
      <c r="C142" s="23" t="str">
        <f ca="1">IFERROR(__xludf.DUMMYFUNCTION("GOOGLETRANSLATE(B142, ""en"", ""fr"")"),"Utilisé pour couper les arbres pour le bois.")</f>
        <v>Utilisé pour couper les arbres pour le bois.</v>
      </c>
      <c r="D142" s="23" t="str">
        <f ca="1">IFERROR(__xludf.DUMMYFUNCTION("GOOGLETRANSLATE(B142, ""en"", ""es"")"),"Se utiliza para cortar árboles para la madera.")</f>
        <v>Se utiliza para cortar árboles para la madera.</v>
      </c>
      <c r="E142" s="23" t="str">
        <f ca="1">IFERROR(__xludf.DUMMYFUNCTION("GOOGLETRANSLATE(B142, ""en"", ""ru"")"),"Используется для измельчения деревьев для дерева.")</f>
        <v>Используется для измельчения деревьев для дерева.</v>
      </c>
      <c r="F142" s="23" t="str">
        <f ca="1">IFERROR(__xludf.DUMMYFUNCTION("GOOGLETRANSLATE(B142, ""en"", ""tr"")"),"Ağaçları ahşap için kesmek için kullanılır.")</f>
        <v>Ağaçları ahşap için kesmek için kullanılır.</v>
      </c>
      <c r="G142" s="23" t="str">
        <f ca="1">IFERROR(__xludf.DUMMYFUNCTION("GOOGLETRANSLATE(B142, ""en"", ""pt"")"),"Usado para cortar árvores para madeira.")</f>
        <v>Usado para cortar árvores para madeira.</v>
      </c>
      <c r="H142" s="24" t="str">
        <f ca="1">IFERROR(__xludf.DUMMYFUNCTION("GOOGLETRANSLATE(B142, ""en"", ""de"")"),"Verwendet, um Bäume für Holz zu hacken.")</f>
        <v>Verwendet, um Bäume für Holz zu hacken.</v>
      </c>
      <c r="I142" s="23" t="str">
        <f ca="1">IFERROR(__xludf.DUMMYFUNCTION("GOOGLETRANSLATE(B142, ""en"", ""pl"")"),"Służy do spięcia drzew do drewna.")</f>
        <v>Służy do spięcia drzew do drewna.</v>
      </c>
      <c r="J142" s="25" t="str">
        <f ca="1">IFERROR(__xludf.DUMMYFUNCTION("GOOGLETRANSLATE(B142, ""en"", ""zh"")"),"用来砍伐树木的树木。")</f>
        <v>用来砍伐树木的树木。</v>
      </c>
      <c r="K142" s="25" t="str">
        <f ca="1">IFERROR(__xludf.DUMMYFUNCTION("GOOGLETRANSLATE(B142, ""en"", ""vi"")"),"Dùng để chặt cây cho gỗ.")</f>
        <v>Dùng để chặt cây cho gỗ.</v>
      </c>
      <c r="L142" s="26" t="str">
        <f ca="1">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spans="1:28" ht="14" x14ac:dyDescent="0.15">
      <c r="A143" s="21" t="s">
        <v>648</v>
      </c>
      <c r="B143" s="22" t="s">
        <v>649</v>
      </c>
      <c r="C143" s="23" t="str">
        <f ca="1">IFERROR(__xludf.DUMMYFUNCTION("GOOGLETRANSLATE(B143, ""en"", ""fr"")"),"Noctis pickaxe")</f>
        <v>Noctis pickaxe</v>
      </c>
      <c r="D143" s="23" t="str">
        <f ca="1">IFERROR(__xludf.DUMMYFUNCTION("GOOGLETRANSLATE(B143, ""en"", ""es"")"),"Noctis PickAxe")</f>
        <v>Noctis PickAxe</v>
      </c>
      <c r="E143" s="23" t="str">
        <f ca="1">IFERROR(__xludf.DUMMYFUNCTION("GOOGLETRANSLATE(B143, ""en"", ""ru"")"),"Noctis Pickaxe.")</f>
        <v>Noctis Pickaxe.</v>
      </c>
      <c r="F143" s="23" t="str">
        <f ca="1">IFERROR(__xludf.DUMMYFUNCTION("GOOGLETRANSLATE(B143, ""en"", ""tr"")"),"Noctis kazmaxe")</f>
        <v>Noctis kazmaxe</v>
      </c>
      <c r="G143" s="23" t="str">
        <f ca="1">IFERROR(__xludf.DUMMYFUNCTION("GOOGLETRANSLATE(B143, ""en"", ""pt"")"),"Noctis picaxe.")</f>
        <v>Noctis picaxe.</v>
      </c>
      <c r="H143" s="24" t="str">
        <f ca="1">IFERROR(__xludf.DUMMYFUNCTION("GOOGLETRANSLATE(B143, ""en"", ""de"")"),"NOCTIS Pickaxe.")</f>
        <v>NOCTIS Pickaxe.</v>
      </c>
      <c r="I143" s="23" t="str">
        <f ca="1">IFERROR(__xludf.DUMMYFUNCTION("GOOGLETRANSLATE(B143, ""en"", ""pl"")"),"Noctis Pickaxe.")</f>
        <v>Noctis Pickaxe.</v>
      </c>
      <c r="J143" s="25" t="str">
        <f ca="1">IFERROR(__xludf.DUMMYFUNCTION("GOOGLETRANSLATE(B143, ""en"", ""zh"")"),"夜耳镐")</f>
        <v>夜耳镐</v>
      </c>
      <c r="K143" s="25" t="str">
        <f ca="1">IFERROR(__xludf.DUMMYFUNCTION("GOOGLETRANSLATE(B143, ""en"", ""vi"")"),"Pickaxe Noctis.")</f>
        <v>Pickaxe Noctis.</v>
      </c>
      <c r="L143" s="26" t="str">
        <f ca="1">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spans="1:28" ht="28" x14ac:dyDescent="0.15">
      <c r="A144" s="21" t="s">
        <v>650</v>
      </c>
      <c r="B144" s="22" t="s">
        <v>564</v>
      </c>
      <c r="C144" s="23" t="str">
        <f ca="1">IFERROR(__xludf.DUMMYFUNCTION("GOOGLETRANSLATE(B144, ""en"", ""fr"")"),"Utilisé pour mine rochers pour minerai.")</f>
        <v>Utilisé pour mine rochers pour minerai.</v>
      </c>
      <c r="D144" s="23" t="str">
        <f ca="1">IFERROR(__xludf.DUMMYFUNCTION("GOOGLETRANSLATE(B144, ""en"", ""es"")"),"Acostumbrado a minar rocas para mineral.")</f>
        <v>Acostumbrado a minar rocas para mineral.</v>
      </c>
      <c r="E144" s="23" t="str">
        <f ca="1">IFERROR(__xludf.DUMMYFUNCTION("GOOGLETRANSLATE(B144, ""en"", ""ru"")"),"Используется для моих скал для руды.")</f>
        <v>Используется для моих скал для руды.</v>
      </c>
      <c r="F144" s="23" t="str">
        <f ca="1">IFERROR(__xludf.DUMMYFUNCTION("GOOGLETRANSLATE(B144, ""en"", ""tr"")"),"Cevher için kayalar için kullanılır.")</f>
        <v>Cevher için kayalar için kullanılır.</v>
      </c>
      <c r="G144" s="23" t="str">
        <f ca="1">IFERROR(__xludf.DUMMYFUNCTION("GOOGLETRANSLATE(B144, ""en"", ""pt"")"),"Usado para minerar pedras para minério.")</f>
        <v>Usado para minerar pedras para minério.</v>
      </c>
      <c r="H144" s="24" t="str">
        <f ca="1">IFERROR(__xludf.DUMMYFUNCTION("GOOGLETRANSLATE(B144, ""en"", ""de"")"),"Verwendet, um Felsen für Erz zu gestalten.")</f>
        <v>Verwendet, um Felsen für Erz zu gestalten.</v>
      </c>
      <c r="I144" s="23" t="str">
        <f ca="1">IFERROR(__xludf.DUMMYFUNCTION("GOOGLETRANSLATE(B144, ""en"", ""pl"")"),"Używane do moich skał dla rudy.")</f>
        <v>Używane do moich skał dla rudy.</v>
      </c>
      <c r="J144" s="25" t="str">
        <f ca="1">IFERROR(__xludf.DUMMYFUNCTION("GOOGLETRANSLATE(B144, ""en"", ""zh"")"),"用于挖掘矿石的岩石。")</f>
        <v>用于挖掘矿石的岩石。</v>
      </c>
      <c r="K144" s="25" t="str">
        <f ca="1">IFERROR(__xludf.DUMMYFUNCTION("GOOGLETRANSLATE(B144, ""en"", ""vi"")"),"Được sử dụng để khai thác đá cho quặng.")</f>
        <v>Được sử dụng để khai thác đá cho quặng.</v>
      </c>
      <c r="L144" s="26" t="str">
        <f ca="1">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spans="1:28" ht="14" x14ac:dyDescent="0.15">
      <c r="A145" s="21" t="s">
        <v>651</v>
      </c>
      <c r="B145" s="22" t="s">
        <v>652</v>
      </c>
      <c r="C145" s="23" t="str">
        <f ca="1">IFERROR(__xludf.DUMMYFUNCTION("GOOGLETRANSLATE(B145, ""en"", ""fr"")"),"Faucille noctis")</f>
        <v>Faucille noctis</v>
      </c>
      <c r="D145" s="23" t="str">
        <f ca="1">IFERROR(__xludf.DUMMYFUNCTION("GOOGLETRANSLATE(B145, ""en"", ""es"")"),"Sickle noctis")</f>
        <v>Sickle noctis</v>
      </c>
      <c r="E145" s="23" t="str">
        <f ca="1">IFERROR(__xludf.DUMMYFUNCTION("GOOGLETRANSLATE(B145, ""en"", ""ru"")"),"Noctis Silley")</f>
        <v>Noctis Silley</v>
      </c>
      <c r="F145" s="23" t="str">
        <f ca="1">IFERROR(__xludf.DUMMYFUNCTION("GOOGLETRANSLATE(B145, ""en"", ""tr"")"),"Noctis orak")</f>
        <v>Noctis orak</v>
      </c>
      <c r="G145" s="23" t="str">
        <f ca="1">IFERROR(__xludf.DUMMYFUNCTION("GOOGLETRANSLATE(B145, ""en"", ""pt"")"),"Noctis foice")</f>
        <v>Noctis foice</v>
      </c>
      <c r="H145" s="24" t="str">
        <f ca="1">IFERROR(__xludf.DUMMYFUNCTION("GOOGLETRANSLATE(B145, ""en"", ""de"")"),"Noctis Sichel")</f>
        <v>Noctis Sichel</v>
      </c>
      <c r="I145" s="23" t="str">
        <f ca="1">IFERROR(__xludf.DUMMYFUNCTION("GOOGLETRANSLATE(B145, ""en"", ""pl"")"),"Sierp Noctis.")</f>
        <v>Sierp Noctis.</v>
      </c>
      <c r="J145" s="25" t="str">
        <f ca="1">IFERROR(__xludf.DUMMYFUNCTION("GOOGLETRANSLATE(B145, ""en"", ""zh"")"),"诺克斯镰刀")</f>
        <v>诺克斯镰刀</v>
      </c>
      <c r="K145" s="25" t="str">
        <f ca="1">IFERROR(__xludf.DUMMYFUNCTION("GOOGLETRANSLATE(B145, ""en"", ""vi"")"),"Noctis liềm")</f>
        <v>Noctis liềm</v>
      </c>
      <c r="L145" s="26" t="str">
        <f ca="1">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spans="1:28" ht="28" x14ac:dyDescent="0.15">
      <c r="A146" s="21" t="s">
        <v>653</v>
      </c>
      <c r="B146" s="22" t="s">
        <v>574</v>
      </c>
      <c r="C146" s="23" t="str">
        <f ca="1">IFERROR(__xludf.DUMMYFUNCTION("GOOGLETRANSLATE(B146, ""en"", ""fr"")"),"Utilisé pour recueillir des plantes.")</f>
        <v>Utilisé pour recueillir des plantes.</v>
      </c>
      <c r="D146" s="23" t="str">
        <f ca="1">IFERROR(__xludf.DUMMYFUNCTION("GOOGLETRANSLATE(B146, ""en"", ""es"")"),"Se utiliza para recoger plantas.")</f>
        <v>Se utiliza para recoger plantas.</v>
      </c>
      <c r="E146" s="23" t="str">
        <f ca="1">IFERROR(__xludf.DUMMYFUNCTION("GOOGLETRANSLATE(B146, ""en"", ""ru"")"),"Используется для собрания растений.")</f>
        <v>Используется для собрания растений.</v>
      </c>
      <c r="F146" s="23" t="str">
        <f ca="1">IFERROR(__xludf.DUMMYFUNCTION("GOOGLETRANSLATE(B146, ""en"", ""tr"")"),"Bitkileri toplamak için kullanılır.")</f>
        <v>Bitkileri toplamak için kullanılır.</v>
      </c>
      <c r="G146" s="23" t="str">
        <f ca="1">IFERROR(__xludf.DUMMYFUNCTION("GOOGLETRANSLATE(B146, ""en"", ""pt"")"),"Usado para reunir plantas.")</f>
        <v>Usado para reunir plantas.</v>
      </c>
      <c r="H146" s="24" t="str">
        <f ca="1">IFERROR(__xludf.DUMMYFUNCTION("GOOGLETRANSLATE(B146, ""en"", ""de"")"),"Verwendet, um Pflanzen zu sammeln.")</f>
        <v>Verwendet, um Pflanzen zu sammeln.</v>
      </c>
      <c r="I146" s="23" t="str">
        <f ca="1">IFERROR(__xludf.DUMMYFUNCTION("GOOGLETRANSLATE(B146, ""en"", ""pl"")"),"Używane do zbierania roślin.")</f>
        <v>Używane do zbierania roślin.</v>
      </c>
      <c r="J146" s="25" t="str">
        <f ca="1">IFERROR(__xludf.DUMMYFUNCTION("GOOGLETRANSLATE(B146, ""en"", ""zh"")"),"用来收集植物。")</f>
        <v>用来收集植物。</v>
      </c>
      <c r="K146" s="25" t="str">
        <f ca="1">IFERROR(__xludf.DUMMYFUNCTION("GOOGLETRANSLATE(B146, ""en"", ""vi"")"),"Dùng để thu thập cây.")</f>
        <v>Dùng để thu thập cây.</v>
      </c>
      <c r="L146" s="26" t="str">
        <f ca="1">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spans="1:28" ht="14" x14ac:dyDescent="0.15">
      <c r="A147" s="21" t="s">
        <v>654</v>
      </c>
      <c r="B147" s="22" t="s">
        <v>655</v>
      </c>
      <c r="C147" s="23" t="str">
        <f ca="1">IFERROR(__xludf.DUMMYFUNCTION("GOOGLETRANSLATE(B147, ""en"", ""fr"")"),"Noctis flèches")</f>
        <v>Noctis flèches</v>
      </c>
      <c r="D147" s="23" t="str">
        <f ca="1">IFERROR(__xludf.DUMMYFUNCTION("GOOGLETRANSLATE(B147, ""en"", ""es"")"),"Flechas nocturnas")</f>
        <v>Flechas nocturnas</v>
      </c>
      <c r="E147" s="23" t="str">
        <f ca="1">IFERROR(__xludf.DUMMYFUNCTION("GOOGLETRANSLATE(B147, ""en"", ""ru"")"),"Стрелки ноктиса")</f>
        <v>Стрелки ноктиса</v>
      </c>
      <c r="F147" s="23" t="str">
        <f ca="1">IFERROR(__xludf.DUMMYFUNCTION("GOOGLETRANSLATE(B147, ""en"", ""tr"")"),"Noctis okları")</f>
        <v>Noctis okları</v>
      </c>
      <c r="G147" s="23" t="str">
        <f ca="1">IFERROR(__xludf.DUMMYFUNCTION("GOOGLETRANSLATE(B147, ""en"", ""pt"")"),"Flechas noctis.")</f>
        <v>Flechas noctis.</v>
      </c>
      <c r="H147" s="24" t="str">
        <f ca="1">IFERROR(__xludf.DUMMYFUNCTION("GOOGLETRANSLATE(B147, ""en"", ""de"")"),"Noctis-Pfeile")</f>
        <v>Noctis-Pfeile</v>
      </c>
      <c r="I147" s="23" t="str">
        <f ca="1">IFERROR(__xludf.DUMMYFUNCTION("GOOGLETRANSLATE(B147, ""en"", ""pl"")"),"Strzałki Noctis.")</f>
        <v>Strzałki Noctis.</v>
      </c>
      <c r="J147" s="25" t="str">
        <f ca="1">IFERROR(__xludf.DUMMYFUNCTION("GOOGLETRANSLATE(B147, ""en"", ""zh"")"),"诺克斯箭头")</f>
        <v>诺克斯箭头</v>
      </c>
      <c r="K147" s="25" t="str">
        <f ca="1">IFERROR(__xludf.DUMMYFUNCTION("GOOGLETRANSLATE(B147, ""en"", ""vi"")"),"Mũi tên noctis.")</f>
        <v>Mũi tên noctis.</v>
      </c>
      <c r="L147" s="26" t="str">
        <f ca="1">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spans="1:28" ht="42" x14ac:dyDescent="0.15">
      <c r="A148" s="21" t="s">
        <v>656</v>
      </c>
      <c r="B148" s="22" t="s">
        <v>578</v>
      </c>
      <c r="C148" s="23" t="str">
        <f ca="1">IFERROR(__xludf.DUMMYFUNCTION("GOOGLETRANSLATE(B148, ""en"", ""fr"")"),"Utilisé comme munition pour un arc.")</f>
        <v>Utilisé comme munition pour un arc.</v>
      </c>
      <c r="D148" s="23" t="str">
        <f ca="1">IFERROR(__xludf.DUMMYFUNCTION("GOOGLETRANSLATE(B148, ""en"", ""es"")"),"Utilizado como municiones para un arco.")</f>
        <v>Utilizado como municiones para un arco.</v>
      </c>
      <c r="E148" s="23" t="str">
        <f ca="1">IFERROR(__xludf.DUMMYFUNCTION("GOOGLETRANSLATE(B148, ""en"", ""ru"")"),"Используется в качестве боеприпасов для лука.")</f>
        <v>Используется в качестве боеприпасов для лука.</v>
      </c>
      <c r="F148" s="23" t="str">
        <f ca="1">IFERROR(__xludf.DUMMYFUNCTION("GOOGLETRANSLATE(B148, ""en"", ""tr"")"),"Bir yay için mühimmat olarak kullanılır.")</f>
        <v>Bir yay için mühimmat olarak kullanılır.</v>
      </c>
      <c r="G148" s="23" t="str">
        <f ca="1">IFERROR(__xludf.DUMMYFUNCTION("GOOGLETRANSLATE(B148, ""en"", ""pt"")"),"Usado como munição para um arco.")</f>
        <v>Usado como munição para um arco.</v>
      </c>
      <c r="H148" s="24" t="str">
        <f ca="1">IFERROR(__xludf.DUMMYFUNCTION("GOOGLETRANSLATE(B148, ""en"", ""de"")"),"Als Munition für einen Bogen verwendet.")</f>
        <v>Als Munition für einen Bogen verwendet.</v>
      </c>
      <c r="I148" s="23" t="str">
        <f ca="1">IFERROR(__xludf.DUMMYFUNCTION("GOOGLETRANSLATE(B148, ""en"", ""pl"")"),"Używany jako amunicja na łuk.")</f>
        <v>Używany jako amunicja na łuk.</v>
      </c>
      <c r="J148" s="25" t="str">
        <f ca="1">IFERROR(__xludf.DUMMYFUNCTION("GOOGLETRANSLATE(B148, ""en"", ""zh"")"),"用作弓的弹药。")</f>
        <v>用作弓的弹药。</v>
      </c>
      <c r="K148" s="25" t="str">
        <f ca="1">IFERROR(__xludf.DUMMYFUNCTION("GOOGLETRANSLATE(B148, ""en"", ""vi"")"),"Dùng làm đạn cho một cây cung.")</f>
        <v>Dùng làm đạn cho một cây cung.</v>
      </c>
      <c r="L148" s="26" t="str">
        <f ca="1">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spans="1:28" ht="14" x14ac:dyDescent="0.15">
      <c r="A149" s="21" t="s">
        <v>657</v>
      </c>
      <c r="B149" s="22" t="s">
        <v>658</v>
      </c>
      <c r="C149" s="23" t="str">
        <f ca="1">IFERROR(__xludf.DUMMYFUNCTION("GOOGLETRANSLATE(B149, ""en"", ""fr"")"),"Poignard noctis")</f>
        <v>Poignard noctis</v>
      </c>
      <c r="D149" s="23" t="str">
        <f ca="1">IFERROR(__xludf.DUMMYFUNCTION("GOOGLETRANSLATE(B149, ""en"", ""es"")"),"Noctis Daga")</f>
        <v>Noctis Daga</v>
      </c>
      <c r="E149" s="23" t="str">
        <f ca="1">IFERROR(__xludf.DUMMYFUNCTION("GOOGLETRANSLATE(B149, ""en"", ""ru"")"),"Ноктис Кинжинг")</f>
        <v>Ноктис Кинжинг</v>
      </c>
      <c r="F149" s="23" t="str">
        <f ca="1">IFERROR(__xludf.DUMMYFUNCTION("GOOGLETRANSLATE(B149, ""en"", ""tr"")"),"Noctis hançer")</f>
        <v>Noctis hançer</v>
      </c>
      <c r="G149" s="23" t="str">
        <f ca="1">IFERROR(__xludf.DUMMYFUNCTION("GOOGLETRANSLATE(B149, ""en"", ""pt"")"),"Noctis Dagger.")</f>
        <v>Noctis Dagger.</v>
      </c>
      <c r="H149" s="24" t="str">
        <f ca="1">IFERROR(__xludf.DUMMYFUNCTION("GOOGLETRANSLATE(B149, ""en"", ""de"")"),"Noctis Dolch.")</f>
        <v>Noctis Dolch.</v>
      </c>
      <c r="I149" s="23" t="str">
        <f ca="1">IFERROR(__xludf.DUMMYFUNCTION("GOOGLETRANSLATE(B149, ""en"", ""pl"")"),"Noctis Dagger.")</f>
        <v>Noctis Dagger.</v>
      </c>
      <c r="J149" s="25" t="str">
        <f ca="1">IFERROR(__xludf.DUMMYFUNCTION("GOOGLETRANSLATE(B149, ""en"", ""zh"")"),"诺克斯匕首")</f>
        <v>诺克斯匕首</v>
      </c>
      <c r="K149" s="25" t="str">
        <f ca="1">IFERROR(__xludf.DUMMYFUNCTION("GOOGLETRANSLATE(B149, ""en"", ""vi"")"),"Daggeris Noctis.")</f>
        <v>Daggeris Noctis.</v>
      </c>
      <c r="L149" s="26" t="str">
        <f ca="1">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spans="1:28" ht="70" x14ac:dyDescent="0.15">
      <c r="A150" s="21" t="s">
        <v>659</v>
      </c>
      <c r="B150" s="22" t="s">
        <v>582</v>
      </c>
      <c r="C150" s="23" t="str">
        <f ca="1">IFERROR(__xludf.DUMMYFUNCTION("GOOGLETRANSLATE(B150, ""en"", ""fr"")"),"Une arme de mêlée à courte portée. Traite des dégâts de bonus quand il frappe derrière lui.")</f>
        <v>Une arme de mêlée à courte portée. Traite des dégâts de bonus quand il frappe derrière lui.</v>
      </c>
      <c r="D150" s="23" t="str">
        <f ca="1">IFERROR(__xludf.DUMMYFUNCTION("GOOGLETRANSLATE(B150, ""en"", ""es"")"),"Un breve arma cuerpo a cuerpo. Ofrece daño de bonificación cuando llega por detrás.")</f>
        <v>Un breve arma cuerpo a cuerpo. Ofrece daño de bonificación cuando llega por detrás.</v>
      </c>
      <c r="E150" s="23" t="str">
        <f ca="1">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 ca="1">IFERROR(__xludf.DUMMYFUNCTION("GOOGLETRANSLATE(B150, ""en"", ""tr"")"),"Kısa menzilli bir yakın dövüş silahı. Arkadan isabet ettiğinde bonus hasarı fırsatlar.")</f>
        <v>Kısa menzilli bir yakın dövüş silahı. Arkadan isabet ettiğinde bonus hasarı fırsatlar.</v>
      </c>
      <c r="G150" s="23" t="str">
        <f ca="1">IFERROR(__xludf.DUMMYFUNCTION("GOOGLETRANSLATE(B150, ""en"", ""pt"")"),"Uma arma de corpo a corpo de curto alcance. Oferece dano de bônus quando atinge por trás.")</f>
        <v>Uma arma de corpo a corpo de curto alcance. Oferece dano de bônus quando atinge por trás.</v>
      </c>
      <c r="H150" s="24" t="str">
        <f ca="1">IFERROR(__xludf.DUMMYFUNCTION("GOOGLETRANSLATE(B150, ""en"", ""de"")"),"Eine kurze Reichweite-Nahkampfwaffe. Befasst sich mit Bonusschäden, wenn sie von hinten trifft.")</f>
        <v>Eine kurze Reichweite-Nahkampfwaffe. Befasst sich mit Bonusschäden, wenn sie von hinten trifft.</v>
      </c>
      <c r="I150" s="23" t="str">
        <f ca="1">IFERROR(__xludf.DUMMYFUNCTION("GOOGLETRANSLATE(B150, ""en"", ""pl"")"),"Broń wręcz broni. Oferty bonusowe uszkodzenia, gdy uderza od tyłu.")</f>
        <v>Broń wręcz broni. Oferty bonusowe uszkodzenia, gdy uderza od tyłu.</v>
      </c>
      <c r="J150" s="25" t="str">
        <f ca="1">IFERROR(__xludf.DUMMYFUNCTION("GOOGLETRANSLATE(B150, ""en"", ""zh"")"),"短程近战武器。从后面击中时造成奖金损坏。")</f>
        <v>短程近战武器。从后面击中时造成奖金损坏。</v>
      </c>
      <c r="K150" s="25" t="str">
        <f ca="1">IFERROR(__xludf.DUMMYFUNCTION("GOOGLETRANSLATE(B150, ""en"", ""vi"")"),"Một vũ khí cận chiến ngắn. Gây sát thương tiền thưởng khi nó đánh từ phía sau.")</f>
        <v>Một vũ khí cận chiến ngắn. Gây sát thương tiền thưởng khi nó đánh từ phía sau.</v>
      </c>
      <c r="L150" s="26" t="str">
        <f ca="1">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spans="1:28" ht="14" x14ac:dyDescent="0.15">
      <c r="A151" s="21" t="s">
        <v>660</v>
      </c>
      <c r="B151" s="22" t="s">
        <v>661</v>
      </c>
      <c r="C151" s="23" t="str">
        <f ca="1">IFERROR(__xludf.DUMMYFUNCTION("GOOGLETRANSLATE(B151, ""en"", ""fr"")"),"Épée de noctis")</f>
        <v>Épée de noctis</v>
      </c>
      <c r="D151" s="23" t="str">
        <f ca="1">IFERROR(__xludf.DUMMYFUNCTION("GOOGLETRANSLATE(B151, ""en"", ""es"")"),"Espada noctis")</f>
        <v>Espada noctis</v>
      </c>
      <c r="E151" s="23" t="str">
        <f ca="1">IFERROR(__xludf.DUMMYFUNCTION("GOOGLETRANSLATE(B151, ""en"", ""ru"")"),"Меча ноктиса")</f>
        <v>Меча ноктиса</v>
      </c>
      <c r="F151" s="23" t="str">
        <f ca="1">IFERROR(__xludf.DUMMYFUNCTION("GOOGLETRANSLATE(B151, ""en"", ""tr"")"),"Noctis kılıç")</f>
        <v>Noctis kılıç</v>
      </c>
      <c r="G151" s="23" t="str">
        <f ca="1">IFERROR(__xludf.DUMMYFUNCTION("GOOGLETRANSLATE(B151, ""en"", ""pt"")"),"Espada de noctis.")</f>
        <v>Espada de noctis.</v>
      </c>
      <c r="H151" s="24" t="str">
        <f ca="1">IFERROR(__xludf.DUMMYFUNCTION("GOOGLETRANSLATE(B151, ""en"", ""de"")"),"Noctis-Schwert")</f>
        <v>Noctis-Schwert</v>
      </c>
      <c r="I151" s="23" t="str">
        <f ca="1">IFERROR(__xludf.DUMMYFUNCTION("GOOGLETRANSLATE(B151, ""en"", ""pl"")"),"Sword Noctis.")</f>
        <v>Sword Noctis.</v>
      </c>
      <c r="J151" s="25" t="str">
        <f ca="1">IFERROR(__xludf.DUMMYFUNCTION("GOOGLETRANSLATE(B151, ""en"", ""zh"")"),"诺克斯剑")</f>
        <v>诺克斯剑</v>
      </c>
      <c r="K151" s="25" t="str">
        <f ca="1">IFERROR(__xludf.DUMMYFUNCTION("GOOGLETRANSLATE(B151, ""en"", ""vi"")"),"Thanh kiếm Noctis.")</f>
        <v>Thanh kiếm Noctis.</v>
      </c>
      <c r="L151" s="26" t="str">
        <f ca="1">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spans="1:28" ht="70" x14ac:dyDescent="0.15">
      <c r="A152" s="21" t="s">
        <v>662</v>
      </c>
      <c r="B152" s="22" t="s">
        <v>586</v>
      </c>
      <c r="C152" s="23" t="str">
        <f ca="1">IFERROR(__xludf.DUMMYFUNCTION("GOOGLETRANSLATE(B152, ""en"", ""fr"")"),"Arme de mêlée. Utilisé pour attaquer une courte distance.")</f>
        <v>Arme de mêlée. Utilisé pour attaquer une courte distance.</v>
      </c>
      <c r="D152" s="23" t="str">
        <f ca="1">IFERROR(__xludf.DUMMYFUNCTION("GOOGLETRANSLATE(B152, ""en"", ""es"")"),"Arma cuerpo a cuerpo. Se utiliza para atacar a una corta distancia.")</f>
        <v>Arma cuerpo a cuerpo. Se utiliza para atacar a una corta distancia.</v>
      </c>
      <c r="E152" s="23" t="str">
        <f ca="1">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 ca="1">IFERROR(__xludf.DUMMYFUNCTION("GOOGLETRANSLATE(B152, ""en"", ""tr"")"),"Yakın dövüş silahı. Kısa bir mesafeye saldırmak için kullanılır.")</f>
        <v>Yakın dövüş silahı. Kısa bir mesafeye saldırmak için kullanılır.</v>
      </c>
      <c r="G152" s="23" t="str">
        <f ca="1">IFERROR(__xludf.DUMMYFUNCTION("GOOGLETRANSLATE(B152, ""en"", ""pt"")"),"Arma branca. Usado para atacar uma curta distância.")</f>
        <v>Arma branca. Usado para atacar uma curta distância.</v>
      </c>
      <c r="H152" s="24" t="str">
        <f ca="1">IFERROR(__xludf.DUMMYFUNCTION("GOOGLETRANSLATE(B152, ""en"", ""de"")"),"Nahkampfwaffe. Verwendet, um eine kurze Entfernung anzugreifen.")</f>
        <v>Nahkampfwaffe. Verwendet, um eine kurze Entfernung anzugreifen.</v>
      </c>
      <c r="I152" s="23" t="str">
        <f ca="1">IFERROR(__xludf.DUMMYFUNCTION("GOOGLETRANSLATE(B152, ""en"", ""pl"")"),"Broń biała. Używany do ataku w niewielkiej odległości.")</f>
        <v>Broń biała. Używany do ataku w niewielkiej odległości.</v>
      </c>
      <c r="J152" s="25" t="str">
        <f ca="1">IFERROR(__xludf.DUMMYFUNCTION("GOOGLETRANSLATE(B152, ""en"", ""zh"")"),"近战武器。用来攻击很短的距离。")</f>
        <v>近战武器。用来攻击很短的距离。</v>
      </c>
      <c r="K152" s="25" t="str">
        <f ca="1">IFERROR(__xludf.DUMMYFUNCTION("GOOGLETRANSLATE(B152, ""en"", ""vi"")"),"Vũ khí cận chiến. Được sử dụng để tấn công một khoảng cách ngắn đi.")</f>
        <v>Vũ khí cận chiến. Được sử dụng để tấn công một khoảng cách ngắn đi.</v>
      </c>
      <c r="L152" s="26" t="str">
        <f ca="1">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spans="1:28" ht="14" x14ac:dyDescent="0.15">
      <c r="A153" s="21" t="s">
        <v>663</v>
      </c>
      <c r="B153" s="22" t="s">
        <v>664</v>
      </c>
      <c r="C153" s="23" t="str">
        <f ca="1">IFERROR(__xludf.DUMMYFUNCTION("GOOGLETRANSLATE(B153, ""en"", ""fr"")"),"Marteau noctis")</f>
        <v>Marteau noctis</v>
      </c>
      <c r="D153" s="23" t="str">
        <f ca="1">IFERROR(__xludf.DUMMYFUNCTION("GOOGLETRANSLATE(B153, ""en"", ""es"")"),"Noctis martillo")</f>
        <v>Noctis martillo</v>
      </c>
      <c r="E153" s="23" t="str">
        <f ca="1">IFERROR(__xludf.DUMMYFUNCTION("GOOGLETRANSLATE(B153, ""en"", ""ru"")"),"Ноктис молоток")</f>
        <v>Ноктис молоток</v>
      </c>
      <c r="F153" s="23" t="str">
        <f ca="1">IFERROR(__xludf.DUMMYFUNCTION("GOOGLETRANSLATE(B153, ""en"", ""tr"")"),"Noctis çekiç")</f>
        <v>Noctis çekiç</v>
      </c>
      <c r="G153" s="23" t="str">
        <f ca="1">IFERROR(__xludf.DUMMYFUNCTION("GOOGLETRANSLATE(B153, ""en"", ""pt"")"),"Martelo de noctis.")</f>
        <v>Martelo de noctis.</v>
      </c>
      <c r="H153" s="24" t="str">
        <f ca="1">IFERROR(__xludf.DUMMYFUNCTION("GOOGLETRANSLATE(B153, ""en"", ""de"")"),"Noctis Hammer")</f>
        <v>Noctis Hammer</v>
      </c>
      <c r="I153" s="23" t="str">
        <f ca="1">IFERROR(__xludf.DUMMYFUNCTION("GOOGLETRANSLATE(B153, ""en"", ""pl"")"),"Młot Noctis.")</f>
        <v>Młot Noctis.</v>
      </c>
      <c r="J153" s="25" t="str">
        <f ca="1">IFERROR(__xludf.DUMMYFUNCTION("GOOGLETRANSLATE(B153, ""en"", ""zh"")"),"夜耳锤")</f>
        <v>夜耳锤</v>
      </c>
      <c r="K153" s="25" t="str">
        <f ca="1">IFERROR(__xludf.DUMMYFUNCTION("GOOGLETRANSLATE(B153, ""en"", ""vi"")"),"Búa noctis.")</f>
        <v>Búa noctis.</v>
      </c>
      <c r="L153" s="26" t="str">
        <f ca="1">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spans="1:28" ht="70" x14ac:dyDescent="0.15">
      <c r="A154" s="21" t="s">
        <v>665</v>
      </c>
      <c r="B154" s="22" t="s">
        <v>590</v>
      </c>
      <c r="C154" s="23" t="str">
        <f ca="1">IFERROR(__xludf.DUMMYFUNCTION("GOOGLETRANSLATE(B154, ""en"", ""fr"")"),"Arme de mêlée. Pousse les choses en arrière un espace quand il frappe.")</f>
        <v>Arme de mêlée. Pousse les choses en arrière un espace quand il frappe.</v>
      </c>
      <c r="D154" s="23" t="str">
        <f ca="1">IFERROR(__xludf.DUMMYFUNCTION("GOOGLETRANSLATE(B154, ""en"", ""es"")"),"Arma cuerpo a cuerpo. Empuja las cosas de vuelta un espacio cuando golpea.")</f>
        <v>Arma cuerpo a cuerpo. Empuja las cosas de vuelta un espacio cuando golpea.</v>
      </c>
      <c r="E154" s="23" t="str">
        <f ca="1">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 ca="1">IFERROR(__xludf.DUMMYFUNCTION("GOOGLETRANSLATE(B154, ""en"", ""tr"")"),"Yakın dövüş silahı. Şeyleri vururken bir şeyi geri iter.")</f>
        <v>Yakın dövüş silahı. Şeyleri vururken bir şeyi geri iter.</v>
      </c>
      <c r="G154" s="23" t="str">
        <f ca="1">IFERROR(__xludf.DUMMYFUNCTION("GOOGLETRANSLATE(B154, ""en"", ""pt"")"),"Arma branca. Empurra as coisas de volta um espaço quando ele atinge.")</f>
        <v>Arma branca. Empurra as coisas de volta um espaço quando ele atinge.</v>
      </c>
      <c r="H154" s="24" t="str">
        <f ca="1">IFERROR(__xludf.DUMMYFUNCTION("GOOGLETRANSLATE(B154, ""en"", ""de"")"),"Nahkampfwaffe. Schiebt die Dinge zurück, wenn es trifft.")</f>
        <v>Nahkampfwaffe. Schiebt die Dinge zurück, wenn es trifft.</v>
      </c>
      <c r="I154" s="23" t="str">
        <f ca="1">IFERROR(__xludf.DUMMYFUNCTION("GOOGLETRANSLATE(B154, ""en"", ""pl"")"),"Broń biała. Popycha rzeczy z powrotem jedną przestrzeń, gdy uderza.")</f>
        <v>Broń biała. Popycha rzeczy z powrotem jedną przestrzeń, gdy uderza.</v>
      </c>
      <c r="J154" s="25" t="str">
        <f ca="1">IFERROR(__xludf.DUMMYFUNCTION("GOOGLETRANSLATE(B154, ""en"", ""zh"")"),"近战武器。当它命中时，将物质推回一个空间。")</f>
        <v>近战武器。当它命中时，将物质推回一个空间。</v>
      </c>
      <c r="K154" s="25" t="str">
        <f ca="1">IFERROR(__xludf.DUMMYFUNCTION("GOOGLETRANSLATE(B154, ""en"", ""vi"")"),"Vũ khí cận chiến. Đẩy mọi thứ trở lại một không gian khi nó hit.")</f>
        <v>Vũ khí cận chiến. Đẩy mọi thứ trở lại một không gian khi nó hit.</v>
      </c>
      <c r="L154" s="26" t="str">
        <f ca="1">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spans="1:28" ht="14" x14ac:dyDescent="0.15">
      <c r="A155" s="21" t="s">
        <v>666</v>
      </c>
      <c r="B155" s="22" t="s">
        <v>667</v>
      </c>
      <c r="C155" s="23" t="str">
        <f ca="1">IFERROR(__xludf.DUMMYFUNCTION("GOOGLETRANSLATE(B155, ""en"", ""fr"")"),"Armure noctis")</f>
        <v>Armure noctis</v>
      </c>
      <c r="D155" s="23" t="str">
        <f ca="1">IFERROR(__xludf.DUMMYFUNCTION("GOOGLETRANSLATE(B155, ""en"", ""es"")"),"Noctis Armor")</f>
        <v>Noctis Armor</v>
      </c>
      <c r="E155" s="23" t="str">
        <f ca="1">IFERROR(__xludf.DUMMYFUNCTION("GOOGLETRANSLATE(B155, ""en"", ""ru"")"),"Доспехи Noctis")</f>
        <v>Доспехи Noctis</v>
      </c>
      <c r="F155" s="23" t="str">
        <f ca="1">IFERROR(__xludf.DUMMYFUNCTION("GOOGLETRANSLATE(B155, ""en"", ""tr"")"),"Noctis zırhı")</f>
        <v>Noctis zırhı</v>
      </c>
      <c r="G155" s="23" t="str">
        <f ca="1">IFERROR(__xludf.DUMMYFUNCTION("GOOGLETRANSLATE(B155, ""en"", ""pt"")"),"Armadura de Noctis.")</f>
        <v>Armadura de Noctis.</v>
      </c>
      <c r="H155" s="24" t="str">
        <f ca="1">IFERROR(__xludf.DUMMYFUNCTION("GOOGLETRANSLATE(B155, ""en"", ""de"")"),"Noctis-Rüstung")</f>
        <v>Noctis-Rüstung</v>
      </c>
      <c r="I155" s="23" t="str">
        <f ca="1">IFERROR(__xludf.DUMMYFUNCTION("GOOGLETRANSLATE(B155, ""en"", ""pl"")"),"Noctis Armor.")</f>
        <v>Noctis Armor.</v>
      </c>
      <c r="J155" s="25" t="str">
        <f ca="1">IFERROR(__xludf.DUMMYFUNCTION("GOOGLETRANSLATE(B155, ""en"", ""zh"")"),"Noctis Armor.")</f>
        <v>Noctis Armor.</v>
      </c>
      <c r="K155" s="25" t="str">
        <f ca="1">IFERROR(__xludf.DUMMYFUNCTION("GOOGLETRANSLATE(B155, ""en"", ""vi"")"),"Áo giáp Noctis.")</f>
        <v>Áo giáp Noctis.</v>
      </c>
      <c r="L155" s="26" t="str">
        <f ca="1">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spans="1:28" ht="56" x14ac:dyDescent="0.15">
      <c r="A156" s="21" t="s">
        <v>668</v>
      </c>
      <c r="B156" s="22" t="s">
        <v>669</v>
      </c>
      <c r="C156" s="23" t="str">
        <f ca="1">IFERROR(__xludf.DUMMYFUNCTION("GOOGLETRANSLATE(B156, ""en"", ""fr"")"),"Angoissant! Augmente votre statistique de mêlée tout en porté.")</f>
        <v>Angoissant! Augmente votre statistique de mêlée tout en porté.</v>
      </c>
      <c r="D156" s="23" t="str">
        <f ca="1">IFERROR(__xludf.DUMMYFUNCTION("GOOGLETRANSLATE(B156, ""en"", ""es"")"),"¡De miedo! Aumenta tu estadística de Melee mientras se usa.")</f>
        <v>¡De miedo! Aumenta tu estadística de Melee mientras se usa.</v>
      </c>
      <c r="E156" s="23" t="str">
        <f ca="1">IFERROR(__xludf.DUMMYFUNCTION("GOOGLETRANSLATE(B156, ""en"", ""ru"")"),"Страшный! Увеличивает вашу статую ближнего боя в ношу.")</f>
        <v>Страшный! Увеличивает вашу статую ближнего боя в ношу.</v>
      </c>
      <c r="F156" s="23" t="str">
        <f ca="1">IFERROR(__xludf.DUMMYFUNCTION("GOOGLETRANSLATE(B156, ""en"", ""tr"")"),"Korkutucu! Yıpranırken yakın dövüş statünüzü arttırır.")</f>
        <v>Korkutucu! Yıpranırken yakın dövüş statünüzü arttırır.</v>
      </c>
      <c r="G156" s="23" t="str">
        <f ca="1">IFERROR(__xludf.DUMMYFUNCTION("GOOGLETRANSLATE(B156, ""en"", ""pt"")"),"Apavorante! Aumenta sua estatística corpo-a-corpo enquanto estiver desgastada.")</f>
        <v>Apavorante! Aumenta sua estatística corpo-a-corpo enquanto estiver desgastada.</v>
      </c>
      <c r="H156" s="24" t="str">
        <f ca="1">IFERROR(__xludf.DUMMYFUNCTION("GOOGLETRANSLATE(B156, ""en"", ""de"")"),"Unheimlich! Erhöht Ihren Nahkampfstat während getragen.")</f>
        <v>Unheimlich! Erhöht Ihren Nahkampfstat während getragen.</v>
      </c>
      <c r="I156" s="23" t="str">
        <f ca="1">IFERROR(__xludf.DUMMYFUNCTION("GOOGLETRANSLATE(B156, ""en"", ""pl"")"),"Straszny! Zwiększa statystykę w walce w walce podczas noszenia.")</f>
        <v>Straszny! Zwiększa statystykę w walce w walce podczas noszenia.</v>
      </c>
      <c r="J156" s="25" t="str">
        <f ca="1">IFERROR(__xludf.DUMMYFUNCTION("GOOGLETRANSLATE(B156, ""en"", ""zh"")"),"害怕！磨损时增加了近战统计数据。")</f>
        <v>害怕！磨损时增加了近战统计数据。</v>
      </c>
      <c r="K156" s="25" t="str">
        <f ca="1">IFERROR(__xludf.DUMMYFUNCTION("GOOGLETRANSLATE(B156, ""en"", ""vi"")"),"Đáng sợ! Tăng số liệu thống kê cận chiến của bạn trong khi bị mòn.")</f>
        <v>Đáng sợ! Tăng số liệu thống kê cận chiến của bạn trong khi bị mòn.</v>
      </c>
      <c r="L156" s="26" t="str">
        <f ca="1">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spans="1:28" ht="14" x14ac:dyDescent="0.15">
      <c r="A157" s="21" t="s">
        <v>670</v>
      </c>
      <c r="B157" s="22" t="s">
        <v>671</v>
      </c>
      <c r="C157" s="23" t="str">
        <f ca="1">IFERROR(__xludf.DUMMYFUNCTION("GOOGLETRANSLATE(B157, ""en"", ""fr"")"),"Vampire fang")</f>
        <v>Vampire fang</v>
      </c>
      <c r="D157" s="23" t="str">
        <f ca="1">IFERROR(__xludf.DUMMYFUNCTION("GOOGLETRANSLATE(B157, ""en"", ""es"")"),"Vampiro colmillo")</f>
        <v>Vampiro colmillo</v>
      </c>
      <c r="E157" s="23" t="str">
        <f ca="1">IFERROR(__xludf.DUMMYFUNCTION("GOOGLETRANSLATE(B157, ""en"", ""ru"")"),"Вампир фанг")</f>
        <v>Вампир фанг</v>
      </c>
      <c r="F157" s="23" t="str">
        <f ca="1">IFERROR(__xludf.DUMMYFUNCTION("GOOGLETRANSLATE(B157, ""en"", ""tr"")"),"Vampir fang")</f>
        <v>Vampir fang</v>
      </c>
      <c r="G157" s="23" t="str">
        <f ca="1">IFERROR(__xludf.DUMMYFUNCTION("GOOGLETRANSLATE(B157, ""en"", ""pt"")"),"Vampire Fang.")</f>
        <v>Vampire Fang.</v>
      </c>
      <c r="H157" s="24" t="str">
        <f ca="1">IFERROR(__xludf.DUMMYFUNCTION("GOOGLETRANSLATE(B157, ""en"", ""de"")"),"Vampir Fang.")</f>
        <v>Vampir Fang.</v>
      </c>
      <c r="I157" s="23" t="str">
        <f ca="1">IFERROR(__xludf.DUMMYFUNCTION("GOOGLETRANSLATE(B157, ""en"", ""pl"")"),"Vampire Fang.")</f>
        <v>Vampire Fang.</v>
      </c>
      <c r="J157" s="25" t="str">
        <f ca="1">IFERROR(__xludf.DUMMYFUNCTION("GOOGLETRANSLATE(B157, ""en"", ""zh"")"),"吸血鬼方")</f>
        <v>吸血鬼方</v>
      </c>
      <c r="K157" s="25" t="str">
        <f ca="1">IFERROR(__xludf.DUMMYFUNCTION("GOOGLETRANSLATE(B157, ""en"", ""vi"")"),"Ma cà rồng Fang.")</f>
        <v>Ma cà rồng Fang.</v>
      </c>
      <c r="L157" s="26" t="str">
        <f ca="1">IFERROR(__xludf.DUMMYFUNCTION("GOOGLETRANSLATE(B157, ""en"", ""hr"")"),"Vampir")</f>
        <v>Vampir</v>
      </c>
      <c r="M157" s="28"/>
      <c r="N157" s="28"/>
      <c r="O157" s="28"/>
      <c r="P157" s="28"/>
      <c r="Q157" s="28"/>
      <c r="R157" s="28"/>
      <c r="S157" s="28"/>
      <c r="T157" s="28"/>
      <c r="U157" s="28"/>
      <c r="V157" s="28"/>
      <c r="W157" s="28"/>
      <c r="X157" s="28"/>
      <c r="Y157" s="28"/>
      <c r="Z157" s="28"/>
      <c r="AA157" s="28"/>
      <c r="AB157" s="28"/>
    </row>
    <row r="158" spans="1:28" ht="70" x14ac:dyDescent="0.15">
      <c r="A158" s="21" t="s">
        <v>672</v>
      </c>
      <c r="B158" s="22" t="s">
        <v>673</v>
      </c>
      <c r="C158" s="23" t="str">
        <f ca="1">IFERROR(__xludf.DUMMYFUNCTION("GOOGLETRANSLATE(B158, ""en"", ""fr"")"),"Arme de mêlée. Très courte portée, mais vous guérit quand il frappe.")</f>
        <v>Arme de mêlée. Très courte portée, mais vous guérit quand il frappe.</v>
      </c>
      <c r="D158" s="23" t="str">
        <f ca="1">IFERROR(__xludf.DUMMYFUNCTION("GOOGLETRANSLATE(B158, ""en"", ""es"")"),"Arma cuerpo a cuerpo. Muy corto, pero te cura cuando golpea.")</f>
        <v>Arma cuerpo a cuerpo. Muy corto, pero te cura cuando golpea.</v>
      </c>
      <c r="E158" s="23" t="str">
        <f ca="1">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 ca="1">IFERROR(__xludf.DUMMYFUNCTION("GOOGLETRANSLATE(B158, ""en"", ""tr"")"),"Yakın dövüş silahı. Çok kısa menzil, ama vurduğunda seni iyileştirir.")</f>
        <v>Yakın dövüş silahı. Çok kısa menzil, ama vurduğunda seni iyileştirir.</v>
      </c>
      <c r="G158" s="23" t="str">
        <f ca="1">IFERROR(__xludf.DUMMYFUNCTION("GOOGLETRANSLATE(B158, ""en"", ""pt"")"),"Arma branca. Cama muito curta, mas cura quando ele atinge.")</f>
        <v>Arma branca. Cama muito curta, mas cura quando ele atinge.</v>
      </c>
      <c r="H158" s="24" t="str">
        <f ca="1">IFERROR(__xludf.DUMMYFUNCTION("GOOGLETRANSLATE(B158, ""en"", ""de"")"),"Nahkampfwaffe. Sehr kurze Reichweite, heilt dich aber, wenn es trifft.")</f>
        <v>Nahkampfwaffe. Sehr kurze Reichweite, heilt dich aber, wenn es trifft.</v>
      </c>
      <c r="I158" s="23" t="str">
        <f ca="1">IFERROR(__xludf.DUMMYFUNCTION("GOOGLETRANSLATE(B158, ""en"", ""pl"")"),"Broń biała. Bardzo krótki zasięg, ale uzdrawia cię, gdy trafia.")</f>
        <v>Broń biała. Bardzo krótki zasięg, ale uzdrawia cię, gdy trafia.</v>
      </c>
      <c r="J158" s="25" t="str">
        <f ca="1">IFERROR(__xludf.DUMMYFUNCTION("GOOGLETRANSLATE(B158, ""en"", ""zh"")"),"近战武器。很短的范围，但是当它命中时会治愈你。")</f>
        <v>近战武器。很短的范围，但是当它命中时会治愈你。</v>
      </c>
      <c r="K158" s="25" t="str">
        <f ca="1">IFERROR(__xludf.DUMMYFUNCTION("GOOGLETRANSLATE(B158, ""en"", ""vi"")"),"Vũ khí cận chiến. Phạm vi rất ngắn, nhưng chữa lành cho bạn khi nó hit.")</f>
        <v>Vũ khí cận chiến. Phạm vi rất ngắn, nhưng chữa lành cho bạn khi nó hit.</v>
      </c>
      <c r="L158" s="26" t="str">
        <f ca="1">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spans="1:28" ht="14" x14ac:dyDescent="0.15">
      <c r="A159" s="21" t="s">
        <v>674</v>
      </c>
      <c r="B159" s="22" t="s">
        <v>675</v>
      </c>
      <c r="C159" s="23" t="str">
        <f ca="1">IFERROR(__xludf.DUMMYFUNCTION("GOOGLETRANSLATE(B159, ""en"", ""fr"")"),"Pincement")</f>
        <v>Pincement</v>
      </c>
      <c r="D159" s="23" t="str">
        <f ca="1">IFERROR(__xludf.DUMMYFUNCTION("GOOGLETRANSLATE(B159, ""en"", ""es"")"),"Arco de pino")</f>
        <v>Arco de pino</v>
      </c>
      <c r="E159" s="23" t="str">
        <f ca="1">IFERROR(__xludf.DUMMYFUNCTION("GOOGLETRANSLATE(B159, ""en"", ""ru"")"),"Сосновый бант")</f>
        <v>Сосновый бант</v>
      </c>
      <c r="F159" s="23" t="str">
        <f ca="1">IFERROR(__xludf.DUMMYFUNCTION("GOOGLETRANSLATE(B159, ""en"", ""tr"")"),"Çam yayı")</f>
        <v>Çam yayı</v>
      </c>
      <c r="G159" s="23" t="str">
        <f ca="1">IFERROR(__xludf.DUMMYFUNCTION("GOOGLETRANSLATE(B159, ""en"", ""pt"")"),"Arco de pinho")</f>
        <v>Arco de pinho</v>
      </c>
      <c r="H159" s="24" t="str">
        <f ca="1">IFERROR(__xludf.DUMMYFUNCTION("GOOGLETRANSLATE(B159, ""en"", ""de"")"),"Kiefernbogen")</f>
        <v>Kiefernbogen</v>
      </c>
      <c r="I159" s="23" t="str">
        <f ca="1">IFERROR(__xludf.DUMMYFUNCTION("GOOGLETRANSLATE(B159, ""en"", ""pl"")"),"Posine Bow.")</f>
        <v>Posine Bow.</v>
      </c>
      <c r="J159" s="25" t="str">
        <f ca="1">IFERROR(__xludf.DUMMYFUNCTION("GOOGLETRANSLATE(B159, ""en"", ""zh"")"),"松弓")</f>
        <v>松弓</v>
      </c>
      <c r="K159" s="25" t="str">
        <f ca="1">IFERROR(__xludf.DUMMYFUNCTION("GOOGLETRANSLATE(B159, ""en"", ""vi"")"),"Pine Bow.")</f>
        <v>Pine Bow.</v>
      </c>
      <c r="L159" s="26" t="str">
        <f ca="1">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spans="1:28" ht="56" x14ac:dyDescent="0.15">
      <c r="A160" s="21" t="s">
        <v>676</v>
      </c>
      <c r="B160" s="22" t="s">
        <v>677</v>
      </c>
      <c r="C160" s="23" t="str">
        <f ca="1">IFERROR(__xludf.DUMMYFUNCTION("GOOGLETRANSLATE(B160, ""en"", ""fr"")"),"Une arme faible longue portée pour tirer des flèches.")</f>
        <v>Une arme faible longue portée pour tirer des flèches.</v>
      </c>
      <c r="D160" s="23" t="str">
        <f ca="1">IFERROR(__xludf.DUMMYFUNCTION("GOOGLETRANSLATE(B160, ""en"", ""es"")"),"Una arma de largo y largo y débil para disparar flechas.")</f>
        <v>Una arma de largo y largo y débil para disparar flechas.</v>
      </c>
      <c r="E160" s="23" t="str">
        <f ca="1">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 ca="1">IFERROR(__xludf.DUMMYFUNCTION("GOOGLETRANSLATE(B160, ""en"", ""tr"")"),"Okları vurmak için zayıf bir uzun menzilli silah.")</f>
        <v>Okları vurmak için zayıf bir uzun menzilli silah.</v>
      </c>
      <c r="G160" s="23" t="str">
        <f ca="1">IFERROR(__xludf.DUMMYFUNCTION("GOOGLETRANSLATE(B160, ""en"", ""pt"")"),"Uma arma fraca longa distância para atirar flechas.")</f>
        <v>Uma arma fraca longa distância para atirar flechas.</v>
      </c>
      <c r="H160" s="24" t="str">
        <f ca="1">IFERROR(__xludf.DUMMYFUNCTION("GOOGLETRANSLATE(B160, ""en"", ""de"")"),"Eine schwache lange Fernkampfwaffe, um Pfeile zu schießen.")</f>
        <v>Eine schwache lange Fernkampfwaffe, um Pfeile zu schießen.</v>
      </c>
      <c r="I160" s="23" t="str">
        <f ca="1">IFERROR(__xludf.DUMMYFUNCTION("GOOGLETRANSLATE(B160, ""en"", ""pl"")"),"Słaba długą broń do strzelania strzał.")</f>
        <v>Słaba długą broń do strzelania strzał.</v>
      </c>
      <c r="J160" s="25" t="str">
        <f ca="1">IFERROR(__xludf.DUMMYFUNCTION("GOOGLETRANSLATE(B160, ""en"", ""zh"")"),"击落箭头的弱长远程武器。")</f>
        <v>击落箭头的弱长远程武器。</v>
      </c>
      <c r="K160" s="25" t="str">
        <f ca="1">IFERROR(__xludf.DUMMYFUNCTION("GOOGLETRANSLATE(B160, ""en"", ""vi"")"),"Một vũ khí dài tầm xa để bắn mũi tên.")</f>
        <v>Một vũ khí dài tầm xa để bắn mũi tên.</v>
      </c>
      <c r="L160" s="26" t="str">
        <f ca="1">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spans="1:28" ht="14" x14ac:dyDescent="0.15">
      <c r="A161" s="21" t="s">
        <v>678</v>
      </c>
      <c r="B161" s="22" t="s">
        <v>679</v>
      </c>
      <c r="C161" s="23" t="str">
        <f ca="1">IFERROR(__xludf.DUMMYFUNCTION("GOOGLETRANSLATE(B161, ""en"", ""fr"")"),"Willow arc")</f>
        <v>Willow arc</v>
      </c>
      <c r="D161" s="23" t="str">
        <f ca="1">IFERROR(__xludf.DUMMYFUNCTION("GOOGLETRANSLATE(B161, ""en"", ""es"")"),"Arco de sauce")</f>
        <v>Arco de sauce</v>
      </c>
      <c r="E161" s="23" t="str">
        <f ca="1">IFERROR(__xludf.DUMMYFUNCTION("GOOGLETRANSLATE(B161, ""en"", ""ru"")"),"Ивы лук")</f>
        <v>Ивы лук</v>
      </c>
      <c r="F161" s="23" t="str">
        <f ca="1">IFERROR(__xludf.DUMMYFUNCTION("GOOGLETRANSLATE(B161, ""en"", ""tr"")"),"Söğüt yay")</f>
        <v>Söğüt yay</v>
      </c>
      <c r="G161" s="23" t="str">
        <f ca="1">IFERROR(__xludf.DUMMYFUNCTION("GOOGLETRANSLATE(B161, ""en"", ""pt"")"),"Arco de salgueiro")</f>
        <v>Arco de salgueiro</v>
      </c>
      <c r="H161" s="24" t="str">
        <f ca="1">IFERROR(__xludf.DUMMYFUNCTION("GOOGLETRANSLATE(B161, ""en"", ""de"")"),"Willow Bow.")</f>
        <v>Willow Bow.</v>
      </c>
      <c r="I161" s="23" t="str">
        <f ca="1">IFERROR(__xludf.DUMMYFUNCTION("GOOGLETRANSLATE(B161, ""en"", ""pl"")"),"Willow Bow.")</f>
        <v>Willow Bow.</v>
      </c>
      <c r="J161" s="25" t="str">
        <f ca="1">IFERROR(__xludf.DUMMYFUNCTION("GOOGLETRANSLATE(B161, ""en"", ""zh"")"),"柳树弓")</f>
        <v>柳树弓</v>
      </c>
      <c r="K161" s="25" t="str">
        <f ca="1">IFERROR(__xludf.DUMMYFUNCTION("GOOGLETRANSLATE(B161, ""en"", ""vi"")"),"Willow Bow.")</f>
        <v>Willow Bow.</v>
      </c>
      <c r="L161" s="26" t="str">
        <f ca="1">IFERROR(__xludf.DUMMYFUNCTION("GOOGLETRANSLATE(B161, ""en"", ""hr"")"),"Vrbovo")</f>
        <v>Vrbovo</v>
      </c>
      <c r="M161" s="28"/>
      <c r="N161" s="28"/>
      <c r="O161" s="28"/>
      <c r="P161" s="28"/>
      <c r="Q161" s="28"/>
      <c r="R161" s="28"/>
      <c r="S161" s="28"/>
      <c r="T161" s="28"/>
      <c r="U161" s="28"/>
      <c r="V161" s="28"/>
      <c r="W161" s="28"/>
      <c r="X161" s="28"/>
      <c r="Y161" s="28"/>
      <c r="Z161" s="28"/>
      <c r="AA161" s="28"/>
      <c r="AB161" s="28"/>
    </row>
    <row r="162" spans="1:28" ht="42" x14ac:dyDescent="0.15">
      <c r="A162" s="21" t="s">
        <v>680</v>
      </c>
      <c r="B162" s="22" t="s">
        <v>681</v>
      </c>
      <c r="C162" s="23" t="str">
        <f ca="1">IFERROR(__xludf.DUMMYFUNCTION("GOOGLETRANSLATE(B162, ""en"", ""fr"")"),"Une bonne arme longue à distance pour tirer des flèches.")</f>
        <v>Une bonne arme longue à distance pour tirer des flèches.</v>
      </c>
      <c r="D162" s="23" t="str">
        <f ca="1">IFERROR(__xludf.DUMMYFUNCTION("GOOGLETRANSLATE(B162, ""en"", ""es"")"),"Una buena arma a largo plazo para disparar flechas.")</f>
        <v>Una buena arma a largo plazo para disparar flechas.</v>
      </c>
      <c r="E162" s="23" t="str">
        <f ca="1">IFERROR(__xludf.DUMMYFUNCTION("GOOGLETRANSLATE(B162, ""en"", ""ru"")"),"Хорошее длительное ореховое оружие для стрелок.")</f>
        <v>Хорошее длительное ореховое оружие для стрелок.</v>
      </c>
      <c r="F162" s="23" t="str">
        <f ca="1">IFERROR(__xludf.DUMMYFUNCTION("GOOGLETRANSLATE(B162, ""en"", ""tr"")"),"Okları vurmak için iyi bir uzun mesafeli bir silah.")</f>
        <v>Okları vurmak için iyi bir uzun mesafeli bir silah.</v>
      </c>
      <c r="G162" s="23" t="str">
        <f ca="1">IFERROR(__xludf.DUMMYFUNCTION("GOOGLETRANSLATE(B162, ""en"", ""pt"")"),"Uma boa arma longa para atirar flechas.")</f>
        <v>Uma boa arma longa para atirar flechas.</v>
      </c>
      <c r="H162" s="24" t="str">
        <f ca="1">IFERROR(__xludf.DUMMYFUNCTION("GOOGLETRANSLATE(B162, ""en"", ""de"")"),"Eine gute lange Fernwaffe, um Pfeile zu schießen.")</f>
        <v>Eine gute lange Fernwaffe, um Pfeile zu schießen.</v>
      </c>
      <c r="I162" s="23" t="str">
        <f ca="1">IFERROR(__xludf.DUMMYFUNCTION("GOOGLETRANSLATE(B162, ""en"", ""pl"")"),"Dobra długotrwała broń do strzelania strzałek.")</f>
        <v>Dobra długotrwała broń do strzelania strzałek.</v>
      </c>
      <c r="J162" s="25" t="str">
        <f ca="1">IFERROR(__xludf.DUMMYFUNCTION("GOOGLETRANSLATE(B162, ""en"", ""zh"")"),"一个很好的长距离武器来射箭。")</f>
        <v>一个很好的长距离武器来射箭。</v>
      </c>
      <c r="K162" s="25" t="str">
        <f ca="1">IFERROR(__xludf.DUMMYFUNCTION("GOOGLETRANSLATE(B162, ""en"", ""vi"")"),"Một vũ khí tầm xa tốt để bắn mũi tên.")</f>
        <v>Một vũ khí tầm xa tốt để bắn mũi tên.</v>
      </c>
      <c r="L162" s="26" t="str">
        <f ca="1">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spans="1:28" ht="14" x14ac:dyDescent="0.15">
      <c r="A163" s="21" t="s">
        <v>682</v>
      </c>
      <c r="B163" s="22" t="s">
        <v>683</v>
      </c>
      <c r="C163" s="23" t="str">
        <f ca="1">IFERROR(__xludf.DUMMYFUNCTION("GOOGLETRANSLATE(B163, ""en"", ""fr"")"),"Chêne")</f>
        <v>Chêne</v>
      </c>
      <c r="D163" s="23" t="str">
        <f ca="1">IFERROR(__xludf.DUMMYFUNCTION("GOOGLETRANSLATE(B163, ""en"", ""es"")"),"Arco de roble")</f>
        <v>Arco de roble</v>
      </c>
      <c r="E163" s="23" t="str">
        <f ca="1">IFERROR(__xludf.DUMMYFUNCTION("GOOGLETRANSLATE(B163, ""en"", ""ru"")"),"Дубовый бант")</f>
        <v>Дубовый бант</v>
      </c>
      <c r="F163" s="23" t="str">
        <f ca="1">IFERROR(__xludf.DUMMYFUNCTION("GOOGLETRANSLATE(B163, ""en"", ""tr"")"),"Meşe yay")</f>
        <v>Meşe yay</v>
      </c>
      <c r="G163" s="23" t="str">
        <f ca="1">IFERROR(__xludf.DUMMYFUNCTION("GOOGLETRANSLATE(B163, ""en"", ""pt"")"),"Arco de carvalho")</f>
        <v>Arco de carvalho</v>
      </c>
      <c r="H163" s="24" t="str">
        <f ca="1">IFERROR(__xludf.DUMMYFUNCTION("GOOGLETRANSLATE(B163, ""en"", ""de"")"),"Eichenbögen")</f>
        <v>Eichenbögen</v>
      </c>
      <c r="I163" s="23" t="str">
        <f ca="1">IFERROR(__xludf.DUMMYFUNCTION("GOOGLETRANSLATE(B163, ""en"", ""pl"")"),"Dębowy łuk")</f>
        <v>Dębowy łuk</v>
      </c>
      <c r="J163" s="25" t="str">
        <f ca="1">IFERROR(__xludf.DUMMYFUNCTION("GOOGLETRANSLATE(B163, ""en"", ""zh"")"),"橡木弓")</f>
        <v>橡木弓</v>
      </c>
      <c r="K163" s="25" t="str">
        <f ca="1">IFERROR(__xludf.DUMMYFUNCTION("GOOGLETRANSLATE(B163, ""en"", ""vi"")"),"Bow Bow.")</f>
        <v>Bow Bow.</v>
      </c>
      <c r="L163" s="26" t="str">
        <f ca="1">IFERROR(__xludf.DUMMYFUNCTION("GOOGLETRANSLATE(B163, ""en"", ""hr"")"),"Hrast")</f>
        <v>Hrast</v>
      </c>
      <c r="M163" s="28"/>
      <c r="N163" s="28"/>
      <c r="O163" s="28"/>
      <c r="P163" s="28"/>
      <c r="Q163" s="28"/>
      <c r="R163" s="28"/>
      <c r="S163" s="28"/>
      <c r="T163" s="28"/>
      <c r="U163" s="28"/>
      <c r="V163" s="28"/>
      <c r="W163" s="28"/>
      <c r="X163" s="28"/>
      <c r="Y163" s="28"/>
      <c r="Z163" s="28"/>
      <c r="AA163" s="28"/>
      <c r="AB163" s="28"/>
    </row>
    <row r="164" spans="1:28" ht="56" x14ac:dyDescent="0.15">
      <c r="A164" s="21" t="s">
        <v>684</v>
      </c>
      <c r="B164" s="22" t="s">
        <v>685</v>
      </c>
      <c r="C164" s="23" t="str">
        <f ca="1">IFERROR(__xludf.DUMMYFUNCTION("GOOGLETRANSLATE(B164, ""en"", ""fr"")"),"Une forte arme longue à distance pour tirer des flèches.")</f>
        <v>Une forte arme longue à distance pour tirer des flèches.</v>
      </c>
      <c r="D164" s="23" t="str">
        <f ca="1">IFERROR(__xludf.DUMMYFUNCTION("GOOGLETRANSLATE(B164, ""en"", ""es"")"),"Una fuerte arma a largo plazo para disparar flechas.")</f>
        <v>Una fuerte arma a largo plazo para disparar flechas.</v>
      </c>
      <c r="E164" s="23" t="str">
        <f ca="1">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 ca="1">IFERROR(__xludf.DUMMYFUNCTION("GOOGLETRANSLATE(B164, ""en"", ""tr"")"),"Okları vurmak için güçlü bir uzun menzilli silah.")</f>
        <v>Okları vurmak için güçlü bir uzun menzilli silah.</v>
      </c>
      <c r="G164" s="23" t="str">
        <f ca="1">IFERROR(__xludf.DUMMYFUNCTION("GOOGLETRANSLATE(B164, ""en"", ""pt"")"),"Uma arma forte longa distância para atirar flechas.")</f>
        <v>Uma arma forte longa distância para atirar flechas.</v>
      </c>
      <c r="H164" s="24" t="str">
        <f ca="1">IFERROR(__xludf.DUMMYFUNCTION("GOOGLETRANSLATE(B164, ""en"", ""de"")"),"Eine starke lange Fernkampfwaffe, um Pfeile zu schießen.")</f>
        <v>Eine starke lange Fernkampfwaffe, um Pfeile zu schießen.</v>
      </c>
      <c r="I164" s="23" t="str">
        <f ca="1">IFERROR(__xludf.DUMMYFUNCTION("GOOGLETRANSLATE(B164, ""en"", ""pl"")"),"Silna długa broń dystansowa do strzelania strzałek.")</f>
        <v>Silna długa broń dystansowa do strzelania strzałek.</v>
      </c>
      <c r="J164" s="25" t="str">
        <f ca="1">IFERROR(__xludf.DUMMYFUNCTION("GOOGLETRANSLATE(B164, ""en"", ""zh"")"),"一个强大的长距离武器来射箭。")</f>
        <v>一个强大的长距离武器来射箭。</v>
      </c>
      <c r="K164" s="25" t="str">
        <f ca="1">IFERROR(__xludf.DUMMYFUNCTION("GOOGLETRANSLATE(B164, ""en"", ""vi"")"),"Một vũ khí dài mạnh mẽ để bắn mũi tên.")</f>
        <v>Một vũ khí dài mạnh mẽ để bắn mũi tên.</v>
      </c>
      <c r="L164" s="26" t="str">
        <f ca="1">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spans="1:28" ht="14" x14ac:dyDescent="0.15">
      <c r="A165" s="42" t="s">
        <v>686</v>
      </c>
      <c r="B165" s="43" t="s">
        <v>687</v>
      </c>
      <c r="C165" s="23" t="str">
        <f ca="1">IFERROR(__xludf.DUMMYFUNCTION("GOOGLETRANSLATE(B165, ""en"", ""fr"")"),"Flèches de glace")</f>
        <v>Flèches de glace</v>
      </c>
      <c r="D165" s="23" t="str">
        <f ca="1">IFERROR(__xludf.DUMMYFUNCTION("GOOGLETRANSLATE(B165, ""en"", ""es"")"),"Flechas de hielo")</f>
        <v>Flechas de hielo</v>
      </c>
      <c r="E165" s="23" t="str">
        <f ca="1">IFERROR(__xludf.DUMMYFUNCTION("GOOGLETRANSLATE(B165, ""en"", ""ru"")"),"Ледяные стрелки")</f>
        <v>Ледяные стрелки</v>
      </c>
      <c r="F165" s="23" t="str">
        <f ca="1">IFERROR(__xludf.DUMMYFUNCTION("GOOGLETRANSLATE(B165, ""en"", ""tr"")"),"Buz okları")</f>
        <v>Buz okları</v>
      </c>
      <c r="G165" s="23" t="str">
        <f ca="1">IFERROR(__xludf.DUMMYFUNCTION("GOOGLETRANSLATE(B165, ""en"", ""pt"")"),"Flechas de gelo")</f>
        <v>Flechas de gelo</v>
      </c>
      <c r="H165" s="24" t="str">
        <f ca="1">IFERROR(__xludf.DUMMYFUNCTION("GOOGLETRANSLATE(B165, ""en"", ""de"")"),"Eispfeile")</f>
        <v>Eispfeile</v>
      </c>
      <c r="I165" s="23" t="str">
        <f ca="1">IFERROR(__xludf.DUMMYFUNCTION("GOOGLETRANSLATE(B165, ""en"", ""pl"")"),"Strzały lodowe.")</f>
        <v>Strzały lodowe.</v>
      </c>
      <c r="J165" s="25" t="str">
        <f ca="1">IFERROR(__xludf.DUMMYFUNCTION("GOOGLETRANSLATE(B165, ""en"", ""zh"")"),"冰箭头")</f>
        <v>冰箭头</v>
      </c>
      <c r="K165" s="25" t="str">
        <f ca="1">IFERROR(__xludf.DUMMYFUNCTION("GOOGLETRANSLATE(B165, ""en"", ""vi"")"),"Mũi tên băng")</f>
        <v>Mũi tên băng</v>
      </c>
      <c r="L165" s="26" t="str">
        <f ca="1">IFERROR(__xludf.DUMMYFUNCTION("GOOGLETRANSLATE(B165, ""en"", ""hr"")"),"Strijele leda")</f>
        <v>Strijele leda</v>
      </c>
      <c r="M165" s="28"/>
      <c r="N165" s="28"/>
      <c r="O165" s="28"/>
      <c r="P165" s="28"/>
      <c r="Q165" s="28"/>
      <c r="R165" s="28"/>
      <c r="S165" s="28"/>
      <c r="T165" s="28"/>
      <c r="U165" s="28"/>
      <c r="V165" s="28"/>
      <c r="W165" s="28"/>
      <c r="X165" s="28"/>
      <c r="Y165" s="28"/>
      <c r="Z165" s="28"/>
      <c r="AA165" s="28"/>
      <c r="AB165" s="28"/>
    </row>
    <row r="166" spans="1:28" ht="84" x14ac:dyDescent="0.15">
      <c r="A166" s="42" t="s">
        <v>688</v>
      </c>
      <c r="B166" s="43" t="s">
        <v>689</v>
      </c>
      <c r="C166" s="23" t="str">
        <f ca="1">IFERROR(__xludf.DUMMYFUNCTION("GOOGLETRANSLATE(B166, ""en"", ""fr"")"),"Utilisé comme munition pour un arc. S'applique refroidir quand il frappe.")</f>
        <v>Utilisé comme munition pour un arc. S'applique refroidir quand il frappe.</v>
      </c>
      <c r="D166" s="23" t="str">
        <f ca="1">IFERROR(__xludf.DUMMYFUNCTION("GOOGLETRANSLATE(B166, ""en"", ""es"")"),"Utilizado como municiones para un arco. Se aplica el frío cuando golpea.")</f>
        <v>Utilizado como municiones para un arco. Se aplica el frío cuando golpea.</v>
      </c>
      <c r="E166" s="23" t="str">
        <f ca="1">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 ca="1">IFERROR(__xludf.DUMMYFUNCTION("GOOGLETRANSLATE(B166, ""en"", ""tr"")"),"Bir yay için mühimmat olarak kullanılır. İsabet ettiğinde chill uygular.")</f>
        <v>Bir yay için mühimmat olarak kullanılır. İsabet ettiğinde chill uygular.</v>
      </c>
      <c r="G166" s="23" t="str">
        <f ca="1">IFERROR(__xludf.DUMMYFUNCTION("GOOGLETRANSLATE(B166, ""en"", ""pt"")"),"Usado como munição para um arco. Aplica-se frio quando ele atinge.")</f>
        <v>Usado como munição para um arco. Aplica-se frio quando ele atinge.</v>
      </c>
      <c r="H166" s="24" t="str">
        <f ca="1">IFERROR(__xludf.DUMMYFUNCTION("GOOGLETRANSLATE(B166, ""en"", ""de"")"),"Als Munition für einen Bogen verwendet. Gilt kühlen, wenn es trifft.")</f>
        <v>Als Munition für einen Bogen verwendet. Gilt kühlen, wenn es trifft.</v>
      </c>
      <c r="I166" s="23" t="str">
        <f ca="1">IFERROR(__xludf.DUMMYFUNCTION("GOOGLETRANSLATE(B166, ""en"", ""pl"")"),"Używany jako amunicja na łuk. Stosuje chłód, gdy trafia.")</f>
        <v>Używany jako amunicja na łuk. Stosuje chłód, gdy trafia.</v>
      </c>
      <c r="J166" s="25" t="str">
        <f ca="1">IFERROR(__xludf.DUMMYFUNCTION("GOOGLETRANSLATE(B166, ""en"", ""zh"")"),"用作弓的弹药。当它命中时，请扼杀。")</f>
        <v>用作弓的弹药。当它命中时，请扼杀。</v>
      </c>
      <c r="K166" s="25" t="str">
        <f ca="1">IFERROR(__xludf.DUMMYFUNCTION("GOOGLETRANSLATE(B166, ""en"", ""vi"")"),"Dùng làm đạn cho một cây cung. Áp dụng Chill khi nó hit.")</f>
        <v>Dùng làm đạn cho một cây cung. Áp dụng Chill khi nó hit.</v>
      </c>
      <c r="L166" s="26" t="str">
        <f ca="1">IFERROR(__xludf.DUMMYFUNCTION("GOOGLETRANSLATE(B166, ""en"", ""hr"")"),"Koristi se kao streljivo za luk. Primjenjuje se hladno kada pogodi.")</f>
        <v>Koristi se kao streljivo za luk. Primjenjuje se hladno kada pogodi.</v>
      </c>
      <c r="M166" s="28"/>
      <c r="N166" s="28"/>
      <c r="O166" s="28"/>
      <c r="P166" s="28"/>
      <c r="Q166" s="28"/>
      <c r="R166" s="28"/>
      <c r="S166" s="28"/>
      <c r="T166" s="28"/>
      <c r="U166" s="28"/>
      <c r="V166" s="28"/>
      <c r="W166" s="28"/>
      <c r="X166" s="28"/>
      <c r="Y166" s="28"/>
      <c r="Z166" s="28"/>
      <c r="AA166" s="28"/>
      <c r="AB166" s="28"/>
    </row>
    <row r="167" spans="1:28" ht="14" x14ac:dyDescent="0.15">
      <c r="A167" s="21" t="s">
        <v>690</v>
      </c>
      <c r="B167" s="22" t="s">
        <v>691</v>
      </c>
      <c r="C167" s="23" t="str">
        <f ca="1">IFERROR(__xludf.DUMMYFUNCTION("GOOGLETRANSLATE(B167, ""en"", ""fr"")"),"Flèches de poison")</f>
        <v>Flèches de poison</v>
      </c>
      <c r="D167" s="23" t="str">
        <f ca="1">IFERROR(__xludf.DUMMYFUNCTION("GOOGLETRANSLATE(B167, ""en"", ""es"")"),"Flechas de veneno")</f>
        <v>Flechas de veneno</v>
      </c>
      <c r="E167" s="23" t="str">
        <f ca="1">IFERROR(__xludf.DUMMYFUNCTION("GOOGLETRANSLATE(B167, ""en"", ""ru"")"),"Ядовитые стрелы")</f>
        <v>Ядовитые стрелы</v>
      </c>
      <c r="F167" s="23" t="str">
        <f ca="1">IFERROR(__xludf.DUMMYFUNCTION("GOOGLETRANSLATE(B167, ""en"", ""tr"")"),"Zehir okları")</f>
        <v>Zehir okları</v>
      </c>
      <c r="G167" s="23" t="str">
        <f ca="1">IFERROR(__xludf.DUMMYFUNCTION("GOOGLETRANSLATE(B167, ""en"", ""pt"")"),"Flechas de veneno")</f>
        <v>Flechas de veneno</v>
      </c>
      <c r="H167" s="24" t="str">
        <f ca="1">IFERROR(__xludf.DUMMYFUNCTION("GOOGLETRANSLATE(B167, ""en"", ""de"")"),"Giftpfeile")</f>
        <v>Giftpfeile</v>
      </c>
      <c r="I167" s="23" t="str">
        <f ca="1">IFERROR(__xludf.DUMMYFUNCTION("GOOGLETRANSLATE(B167, ""en"", ""pl"")"),"Trucizny strzałki")</f>
        <v>Trucizny strzałki</v>
      </c>
      <c r="J167" s="25" t="str">
        <f ca="1">IFERROR(__xludf.DUMMYFUNCTION("GOOGLETRANSLATE(B167, ""en"", ""zh"")"),"毒箭")</f>
        <v>毒箭</v>
      </c>
      <c r="K167" s="25" t="str">
        <f ca="1">IFERROR(__xludf.DUMMYFUNCTION("GOOGLETRANSLATE(B167, ""en"", ""vi"")"),"Mũi tên độc")</f>
        <v>Mũi tên độc</v>
      </c>
      <c r="L167" s="26" t="str">
        <f ca="1">IFERROR(__xludf.DUMMYFUNCTION("GOOGLETRANSLATE(B167, ""en"", ""hr"")"),"Strelice otrova")</f>
        <v>Strelice otrova</v>
      </c>
      <c r="M167" s="28"/>
      <c r="N167" s="28"/>
      <c r="O167" s="28"/>
      <c r="P167" s="28"/>
      <c r="Q167" s="28"/>
      <c r="R167" s="28"/>
      <c r="S167" s="28"/>
      <c r="T167" s="28"/>
      <c r="U167" s="28"/>
      <c r="V167" s="28"/>
      <c r="W167" s="28"/>
      <c r="X167" s="28"/>
      <c r="Y167" s="28"/>
      <c r="Z167" s="28"/>
      <c r="AA167" s="28"/>
      <c r="AB167" s="28"/>
    </row>
    <row r="168" spans="1:28" ht="70" x14ac:dyDescent="0.15">
      <c r="A168" s="21" t="s">
        <v>692</v>
      </c>
      <c r="B168" s="22" t="s">
        <v>693</v>
      </c>
      <c r="C168" s="23" t="str">
        <f ca="1">IFERROR(__xludf.DUMMYFUNCTION("GOOGLETRANSLATE(B168, ""en"", ""fr"")"),"Utilisé comme munition pour un arc. Applique du poison quand il frappe.")</f>
        <v>Utilisé comme munition pour un arc. Applique du poison quand il frappe.</v>
      </c>
      <c r="D168" s="23" t="str">
        <f ca="1">IFERROR(__xludf.DUMMYFUNCTION("GOOGLETRANSLATE(B168, ""en"", ""es"")"),"Utilizado como municiones para un arco. Aplica veneno cuando golpea.")</f>
        <v>Utilizado como municiones para un arco. Aplica veneno cuando golpea.</v>
      </c>
      <c r="E168" s="23" t="str">
        <f ca="1">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 ca="1">IFERROR(__xludf.DUMMYFUNCTION("GOOGLETRANSLATE(B168, ""en"", ""tr"")"),"Bir yay için mühimmat olarak kullanılır. Vurduğunda zehir uygular.")</f>
        <v>Bir yay için mühimmat olarak kullanılır. Vurduğunda zehir uygular.</v>
      </c>
      <c r="G168" s="23" t="str">
        <f ca="1">IFERROR(__xludf.DUMMYFUNCTION("GOOGLETRANSLATE(B168, ""en"", ""pt"")"),"Usado como munição para um arco. Aplica veneno quando atinge.")</f>
        <v>Usado como munição para um arco. Aplica veneno quando atinge.</v>
      </c>
      <c r="H168" s="24" t="str">
        <f ca="1">IFERROR(__xludf.DUMMYFUNCTION("GOOGLETRANSLATE(B168, ""en"", ""de"")"),"Als Munition für einen Bogen verwendet. Wendet Gift an, wenn es trifft.")</f>
        <v>Als Munition für einen Bogen verwendet. Wendet Gift an, wenn es trifft.</v>
      </c>
      <c r="I168" s="23" t="str">
        <f ca="1">IFERROR(__xludf.DUMMYFUNCTION("GOOGLETRANSLATE(B168, ""en"", ""pl"")"),"Używany jako amunicja na łuk. Dotyczy trucizny, gdy trafia.")</f>
        <v>Używany jako amunicja na łuk. Dotyczy trucizny, gdy trafia.</v>
      </c>
      <c r="J168" s="25" t="str">
        <f ca="1">IFERROR(__xludf.DUMMYFUNCTION("GOOGLETRANSLATE(B168, ""en"", ""zh"")"),"用作弓的弹药。当它命中时适用毒药。")</f>
        <v>用作弓的弹药。当它命中时适用毒药。</v>
      </c>
      <c r="K168" s="25" t="str">
        <f ca="1">IFERROR(__xludf.DUMMYFUNCTION("GOOGLETRANSLATE(B168, ""en"", ""vi"")"),"Dùng làm đạn cho một cây cung. Áp dụng chất độc khi nó đạt.")</f>
        <v>Dùng làm đạn cho một cây cung. Áp dụng chất độc khi nó đạt.</v>
      </c>
      <c r="L168" s="26" t="str">
        <f ca="1">IFERROR(__xludf.DUMMYFUNCTION("GOOGLETRANSLATE(B168, ""en"", ""hr"")"),"Koristi se kao streljivo za luk. Primjenjuje otrov kada pogodi.")</f>
        <v>Koristi se kao streljivo za luk. Primjenjuje otrov kada pogodi.</v>
      </c>
      <c r="M168" s="28"/>
      <c r="N168" s="28"/>
      <c r="O168" s="28"/>
      <c r="P168" s="28"/>
      <c r="Q168" s="28"/>
      <c r="R168" s="28"/>
      <c r="S168" s="28"/>
      <c r="T168" s="28"/>
      <c r="U168" s="28"/>
      <c r="V168" s="28"/>
      <c r="W168" s="28"/>
      <c r="X168" s="28"/>
      <c r="Y168" s="28"/>
      <c r="Z168" s="28"/>
      <c r="AA168" s="28"/>
      <c r="AB168" s="28"/>
    </row>
    <row r="169" spans="1:28" ht="28" x14ac:dyDescent="0.15">
      <c r="A169" s="21" t="s">
        <v>694</v>
      </c>
      <c r="B169" s="22" t="s">
        <v>695</v>
      </c>
      <c r="C169" s="23" t="str">
        <f ca="1">IFERROR(__xludf.DUMMYFUNCTION("GOOGLETRANSLATE(B169, ""en"", ""fr"")"),"Flèches explosives")</f>
        <v>Flèches explosives</v>
      </c>
      <c r="D169" s="23" t="str">
        <f ca="1">IFERROR(__xludf.DUMMYFUNCTION("GOOGLETRANSLATE(B169, ""en"", ""es"")"),"Flechas explosivas")</f>
        <v>Flechas explosivas</v>
      </c>
      <c r="E169" s="23" t="str">
        <f ca="1">IFERROR(__xludf.DUMMYFUNCTION("GOOGLETRANSLATE(B169, ""en"", ""ru"")"),"Взрывоопасные стрелки")</f>
        <v>Взрывоопасные стрелки</v>
      </c>
      <c r="F169" s="23" t="str">
        <f ca="1">IFERROR(__xludf.DUMMYFUNCTION("GOOGLETRANSLATE(B169, ""en"", ""tr"")"),"Patlayıcı oklar")</f>
        <v>Patlayıcı oklar</v>
      </c>
      <c r="G169" s="23" t="str">
        <f ca="1">IFERROR(__xludf.DUMMYFUNCTION("GOOGLETRANSLATE(B169, ""en"", ""pt"")"),"Flechas explosivas")</f>
        <v>Flechas explosivas</v>
      </c>
      <c r="H169" s="24" t="str">
        <f ca="1">IFERROR(__xludf.DUMMYFUNCTION("GOOGLETRANSLATE(B169, ""en"", ""de"")"),"Explosive Pfeile")</f>
        <v>Explosive Pfeile</v>
      </c>
      <c r="I169" s="23" t="str">
        <f ca="1">IFERROR(__xludf.DUMMYFUNCTION("GOOGLETRANSLATE(B169, ""en"", ""pl"")"),"Wybuchowe strzałki")</f>
        <v>Wybuchowe strzałki</v>
      </c>
      <c r="J169" s="25" t="str">
        <f ca="1">IFERROR(__xludf.DUMMYFUNCTION("GOOGLETRANSLATE(B169, ""en"", ""zh"")"),"爆炸箭头")</f>
        <v>爆炸箭头</v>
      </c>
      <c r="K169" s="25" t="str">
        <f ca="1">IFERROR(__xludf.DUMMYFUNCTION("GOOGLETRANSLATE(B169, ""en"", ""vi"")"),"Mũi tên nổ")</f>
        <v>Mũi tên nổ</v>
      </c>
      <c r="L169" s="26" t="str">
        <f ca="1">IFERROR(__xludf.DUMMYFUNCTION("GOOGLETRANSLATE(B169, ""en"", ""hr"")"),"Eksplozivne strelice")</f>
        <v>Eksplozivne strelice</v>
      </c>
      <c r="M169" s="28"/>
      <c r="N169" s="28"/>
      <c r="O169" s="28"/>
      <c r="P169" s="28"/>
      <c r="Q169" s="28"/>
      <c r="R169" s="28"/>
      <c r="S169" s="28"/>
      <c r="T169" s="28"/>
      <c r="U169" s="28"/>
      <c r="V169" s="28"/>
      <c r="W169" s="28"/>
      <c r="X169" s="28"/>
      <c r="Y169" s="28"/>
      <c r="Z169" s="28"/>
      <c r="AA169" s="28"/>
      <c r="AB169" s="28"/>
    </row>
    <row r="170" spans="1:28" ht="84" x14ac:dyDescent="0.15">
      <c r="A170" s="21" t="s">
        <v>696</v>
      </c>
      <c r="B170" s="22" t="s">
        <v>697</v>
      </c>
      <c r="C170" s="23" t="str">
        <f ca="1">IFERROR(__xludf.DUMMYFUNCTION("GOOGLETRANSLATE(B170, ""en"", ""fr"")"),"Utilisé comme munition pour un arc. Inflige des dégâts et des brûlures dans une zone quand il frappe.")</f>
        <v>Utilisé comme munition pour un arc. Inflige des dégâts et des brûlures dans une zone quand il frappe.</v>
      </c>
      <c r="D170" s="23" t="str">
        <f ca="1">IFERROR(__xludf.DUMMYFUNCTION("GOOGLETRANSLATE(B170, ""en"", ""es"")"),"Utilizado como municiones para un arco. Ofrece daños y quemaduras en un área cuando golpea.")</f>
        <v>Utilizado como municiones para un arco. Ofrece daños y quemaduras en un área cuando golpea.</v>
      </c>
      <c r="E170" s="23" t="str">
        <f ca="1">IFERROR(__xludf.DUMMYFUNCTION("GOOGLETRANSLATE(B170, ""en"", ""ru"")"),"Используется в качестве боеприпасов для лука. Наносит урон и ожоги в районе, когда он попадает.")</f>
        <v>Используется в качестве боеприпасов для лука. Наносит урон и ожоги в районе, когда он попадает.</v>
      </c>
      <c r="F170" s="23" t="str">
        <f ca="1">IFERROR(__xludf.DUMMYFUNCTION("GOOGLETRANSLATE(B170, ""en"", ""tr"")"),"Bir yay için mühimmat olarak kullanılır. Hit olduğunda bir bölgede hasar verir ve yanar.")</f>
        <v>Bir yay için mühimmat olarak kullanılır. Hit olduğunda bir bölgede hasar verir ve yanar.</v>
      </c>
      <c r="G170" s="23" t="str">
        <f ca="1">IFERROR(__xludf.DUMMYFUNCTION("GOOGLETRANSLATE(B170, ""en"", ""pt"")"),"Usado como munição para um arco. Oferece dano e queimaduras em uma área quando ele atinge.")</f>
        <v>Usado como munição para um arco. Oferece dano e queimaduras em uma área quando ele atinge.</v>
      </c>
      <c r="H170" s="24" t="str">
        <f ca="1">IFERROR(__xludf.DUMMYFUNCTION("GOOGLETRANSLATE(B170, ""en"", ""de"")"),"Als Munition für einen Bogen verwendet. Fügt Schaden und Verbrennungen in einem Bereich zu, wenn es trifft.")</f>
        <v>Als Munition für einen Bogen verwendet. Fügt Schaden und Verbrennungen in einem Bereich zu, wenn es trifft.</v>
      </c>
      <c r="I170" s="23" t="str">
        <f ca="1">IFERROR(__xludf.DUMMYFUNCTION("GOOGLETRANSLATE(B170, ""en"", ""pl"")"),"Używany jako amunicja na łuk. Zadaje obrażenia i oparzenia w obszarze, gdy trafia.")</f>
        <v>Używany jako amunicja na łuk. Zadaje obrażenia i oparzenia w obszarze, gdy trafia.</v>
      </c>
      <c r="J170" s="25" t="str">
        <f ca="1">IFERROR(__xludf.DUMMYFUNCTION("GOOGLETRANSLATE(B170, ""en"", ""zh"")"),"用作弓的弹药。在击中时造成伤害并烧伤。")</f>
        <v>用作弓的弹药。在击中时造成伤害并烧伤。</v>
      </c>
      <c r="K170" s="25" t="str">
        <f ca="1">IFERROR(__xludf.DUMMYFUNCTION("GOOGLETRANSLATE(B170, ""en"", ""vi"")"),"Dùng làm đạn cho một cây cung. Gây sát thương và bỏng trong một khu vực khi nó hit.")</f>
        <v>Dùng làm đạn cho một cây cung. Gây sát thương và bỏng trong một khu vực khi nó hit.</v>
      </c>
      <c r="L170" s="26" t="str">
        <f ca="1">IFERROR(__xludf.DUMMYFUNCTION("GOOGLETRANSLATE(B170, ""en"", ""hr"")"),"Koristi se kao streljivo za luk. Ponudite štetu i opekline u području kada pogodi.")</f>
        <v>Koristi se kao streljivo za luk. Ponudite štetu i opekline u području kada pogodi.</v>
      </c>
      <c r="M170" s="28"/>
      <c r="N170" s="28"/>
      <c r="O170" s="28"/>
      <c r="P170" s="28"/>
      <c r="Q170" s="28"/>
      <c r="R170" s="28"/>
      <c r="S170" s="28"/>
      <c r="T170" s="28"/>
      <c r="U170" s="28"/>
      <c r="V170" s="28"/>
      <c r="W170" s="28"/>
      <c r="X170" s="28"/>
      <c r="Y170" s="28"/>
      <c r="Z170" s="28"/>
      <c r="AA170" s="28"/>
      <c r="AB170" s="28"/>
    </row>
    <row r="171" spans="1:28" ht="14" x14ac:dyDescent="0.15">
      <c r="A171" s="21" t="s">
        <v>698</v>
      </c>
      <c r="B171" s="22" t="s">
        <v>699</v>
      </c>
      <c r="C171" s="23" t="str">
        <f ca="1">IFERROR(__xludf.DUMMYFUNCTION("GOOGLETRANSLATE(B171, ""en"", ""fr"")"),"Shuriken")</f>
        <v>Shuriken</v>
      </c>
      <c r="D171" s="23" t="str">
        <f ca="1">IFERROR(__xludf.DUMMYFUNCTION("GOOGLETRANSLATE(B171, ""en"", ""es"")"),"Shuriken")</f>
        <v>Shuriken</v>
      </c>
      <c r="E171" s="23" t="str">
        <f ca="1">IFERROR(__xludf.DUMMYFUNCTION("GOOGLETRANSLATE(B171, ""en"", ""ru"")"),"Шурикен")</f>
        <v>Шурикен</v>
      </c>
      <c r="F171" s="23" t="str">
        <f ca="1">IFERROR(__xludf.DUMMYFUNCTION("GOOGLETRANSLATE(B171, ""en"", ""tr"")"),"Shuriken")</f>
        <v>Shuriken</v>
      </c>
      <c r="G171" s="23" t="str">
        <f ca="1">IFERROR(__xludf.DUMMYFUNCTION("GOOGLETRANSLATE(B171, ""en"", ""pt"")"),"Shuriken.")</f>
        <v>Shuriken.</v>
      </c>
      <c r="H171" s="24" t="str">
        <f ca="1">IFERROR(__xludf.DUMMYFUNCTION("GOOGLETRANSLATE(B171, ""en"", ""de"")"),"Shuriken")</f>
        <v>Shuriken</v>
      </c>
      <c r="I171" s="23" t="str">
        <f ca="1">IFERROR(__xludf.DUMMYFUNCTION("GOOGLETRANSLATE(B171, ""en"", ""pl"")"),"Shuriken.")</f>
        <v>Shuriken.</v>
      </c>
      <c r="J171" s="25" t="str">
        <f ca="1">IFERROR(__xludf.DUMMYFUNCTION("GOOGLETRANSLATE(B171, ""en"", ""zh"")"),"Shuriken.")</f>
        <v>Shuriken.</v>
      </c>
      <c r="K171" s="25" t="str">
        <f ca="1">IFERROR(__xludf.DUMMYFUNCTION("GOOGLETRANSLATE(B171, ""en"", ""vi"")"),"Shuriken.")</f>
        <v>Shuriken.</v>
      </c>
      <c r="L171" s="26" t="str">
        <f ca="1">IFERROR(__xludf.DUMMYFUNCTION("GOOGLETRANSLATE(B171, ""en"", ""hr"")"),"Shuriken")</f>
        <v>Shuriken</v>
      </c>
      <c r="M171" s="28"/>
      <c r="N171" s="28"/>
      <c r="O171" s="28"/>
      <c r="P171" s="28"/>
      <c r="Q171" s="28"/>
      <c r="R171" s="28"/>
      <c r="S171" s="28"/>
      <c r="T171" s="28"/>
      <c r="U171" s="28"/>
      <c r="V171" s="28"/>
      <c r="W171" s="28"/>
      <c r="X171" s="28"/>
      <c r="Y171" s="28"/>
      <c r="Z171" s="28"/>
      <c r="AA171" s="28"/>
      <c r="AB171" s="28"/>
    </row>
    <row r="172" spans="1:28" ht="42" x14ac:dyDescent="0.15">
      <c r="A172" s="21" t="s">
        <v>700</v>
      </c>
      <c r="B172" s="22" t="s">
        <v>701</v>
      </c>
      <c r="C172" s="23" t="str">
        <f ca="1">IFERROR(__xludf.DUMMYFUNCTION("GOOGLETRANSLATE(B172, ""en"", ""fr"")"),"Une arme à distance rapide déplaçante.")</f>
        <v>Une arme à distance rapide déplaçante.</v>
      </c>
      <c r="D172" s="23" t="str">
        <f ca="1">IFERROR(__xludf.DUMMYFUNCTION("GOOGLETRANSLATE(B172, ""en"", ""es"")"),"Una arma a distancia mediana rápida.")</f>
        <v>Una arma a distancia mediana rápida.</v>
      </c>
      <c r="E172" s="23" t="str">
        <f ca="1">IFERROR(__xludf.DUMMYFUNCTION("GOOGLETRANSLATE(B172, ""en"", ""ru"")"),"Быстрое перемещение среднего оружия.")</f>
        <v>Быстрое перемещение среднего оружия.</v>
      </c>
      <c r="F172" s="23" t="str">
        <f ca="1">IFERROR(__xludf.DUMMYFUNCTION("GOOGLETRANSLATE(B172, ""en"", ""tr"")"),"Hızlı hareket eden ortamlı bir silah.")</f>
        <v>Hızlı hareket eden ortamlı bir silah.</v>
      </c>
      <c r="G172" s="23" t="str">
        <f ca="1">IFERROR(__xludf.DUMMYFUNCTION("GOOGLETRANSLATE(B172, ""en"", ""pt"")"),"Uma arma movente rápida variou arma.")</f>
        <v>Uma arma movente rápida variou arma.</v>
      </c>
      <c r="H172" s="24" t="str">
        <f ca="1">IFERROR(__xludf.DUMMYFUNCTION("GOOGLETRANSLATE(B172, ""en"", ""de"")"),"Eine schnelles bewegte mittlere Waffe.")</f>
        <v>Eine schnelles bewegte mittlere Waffe.</v>
      </c>
      <c r="I172" s="23" t="str">
        <f ca="1">IFERROR(__xludf.DUMMYFUNCTION("GOOGLETRANSLATE(B172, ""en"", ""pl"")"),"Szybka przenoszona broń dystansowa.")</f>
        <v>Szybka przenoszona broń dystansowa.</v>
      </c>
      <c r="J172" s="25" t="str">
        <f ca="1">IFERROR(__xludf.DUMMYFUNCTION("GOOGLETRANSLATE(B172, ""en"", ""zh"")"),"快速移动的介质远程武器。")</f>
        <v>快速移动的介质远程武器。</v>
      </c>
      <c r="K172" s="25" t="str">
        <f ca="1">IFERROR(__xludf.DUMMYFUNCTION("GOOGLETRANSLATE(B172, ""en"", ""vi"")"),"Một vũ khí di chuyển nhanh chóng.")</f>
        <v>Một vũ khí di chuyển nhanh chóng.</v>
      </c>
      <c r="L172" s="26" t="str">
        <f ca="1">IFERROR(__xludf.DUMMYFUNCTION("GOOGLETRANSLATE(B172, ""en"", ""hr"")"),"Brzo kreće medijsko oružje.")</f>
        <v>Brzo kreće medijsko oružje.</v>
      </c>
      <c r="M172" s="28"/>
      <c r="N172" s="28"/>
      <c r="O172" s="28"/>
      <c r="P172" s="28"/>
      <c r="Q172" s="28"/>
      <c r="R172" s="28"/>
      <c r="S172" s="28"/>
      <c r="T172" s="28"/>
      <c r="U172" s="28"/>
      <c r="V172" s="28"/>
      <c r="W172" s="28"/>
      <c r="X172" s="28"/>
      <c r="Y172" s="28"/>
      <c r="Z172" s="28"/>
      <c r="AA172" s="28"/>
      <c r="AB172" s="28"/>
    </row>
    <row r="173" spans="1:28" ht="14" x14ac:dyDescent="0.15">
      <c r="A173" s="21" t="s">
        <v>702</v>
      </c>
      <c r="B173" s="22" t="s">
        <v>703</v>
      </c>
      <c r="C173" s="23" t="str">
        <f ca="1">IFERROR(__xludf.DUMMYFUNCTION("GOOGLETRANSLATE(B173, ""en"", ""fr"")"),"Bombe")</f>
        <v>Bombe</v>
      </c>
      <c r="D173" s="23" t="str">
        <f ca="1">IFERROR(__xludf.DUMMYFUNCTION("GOOGLETRANSLATE(B173, ""en"", ""es"")"),"Bomba")</f>
        <v>Bomba</v>
      </c>
      <c r="E173" s="23" t="str">
        <f ca="1">IFERROR(__xludf.DUMMYFUNCTION("GOOGLETRANSLATE(B173, ""en"", ""ru"")"),"Бомбить")</f>
        <v>Бомбить</v>
      </c>
      <c r="F173" s="23" t="str">
        <f ca="1">IFERROR(__xludf.DUMMYFUNCTION("GOOGLETRANSLATE(B173, ""en"", ""tr"")"),"Bomba")</f>
        <v>Bomba</v>
      </c>
      <c r="G173" s="23" t="str">
        <f ca="1">IFERROR(__xludf.DUMMYFUNCTION("GOOGLETRANSLATE(B173, ""en"", ""pt"")"),"Bombear")</f>
        <v>Bombear</v>
      </c>
      <c r="H173" s="24" t="str">
        <f ca="1">IFERROR(__xludf.DUMMYFUNCTION("GOOGLETRANSLATE(B173, ""en"", ""de"")"),"Bombe")</f>
        <v>Bombe</v>
      </c>
      <c r="I173" s="23" t="str">
        <f ca="1">IFERROR(__xludf.DUMMYFUNCTION("GOOGLETRANSLATE(B173, ""en"", ""pl"")"),"Bomba")</f>
        <v>Bomba</v>
      </c>
      <c r="J173" s="25" t="str">
        <f ca="1">IFERROR(__xludf.DUMMYFUNCTION("GOOGLETRANSLATE(B173, ""en"", ""zh"")"),"炸弹")</f>
        <v>炸弹</v>
      </c>
      <c r="K173" s="25" t="str">
        <f ca="1">IFERROR(__xludf.DUMMYFUNCTION("GOOGLETRANSLATE(B173, ""en"", ""vi"")"),"Bom")</f>
        <v>Bom</v>
      </c>
      <c r="L173" s="26" t="str">
        <f ca="1">IFERROR(__xludf.DUMMYFUNCTION("GOOGLETRANSLATE(B173, ""en"", ""hr"")"),"Bomba")</f>
        <v>Bomba</v>
      </c>
      <c r="M173" s="28"/>
      <c r="N173" s="28"/>
      <c r="O173" s="28"/>
      <c r="P173" s="28"/>
      <c r="Q173" s="28"/>
      <c r="R173" s="28"/>
      <c r="S173" s="28"/>
      <c r="T173" s="28"/>
      <c r="U173" s="28"/>
      <c r="V173" s="28"/>
      <c r="W173" s="28"/>
      <c r="X173" s="28"/>
      <c r="Y173" s="28"/>
      <c r="Z173" s="28"/>
      <c r="AA173" s="28"/>
      <c r="AB173" s="28"/>
    </row>
    <row r="174" spans="1:28" ht="84" x14ac:dyDescent="0.15">
      <c r="A174" s="21" t="s">
        <v>704</v>
      </c>
      <c r="B174" s="22" t="s">
        <v>705</v>
      </c>
      <c r="C174" s="23" t="str">
        <f ca="1">IFERROR(__xludf.DUMMYFUNCTION("GOOGLETRANSLATE(B174, ""en"", ""fr"")"),"Crée une explosion qui endommageait et brûle n'importe quoi à proximité après un court délai.")</f>
        <v>Crée une explosion qui endommageait et brûle n'importe quoi à proximité après un court délai.</v>
      </c>
      <c r="D174" s="23" t="str">
        <f ca="1">IFERROR(__xludf.DUMMYFUNCTION("GOOGLETRANSLATE(B174, ""en"", ""es"")"),"Crea una explosión que daña y quema cualquier cosa cerca después de un breve retraso.")</f>
        <v>Crea una explosión que daña y quema cualquier cosa cerca después de un breve retraso.</v>
      </c>
      <c r="E174" s="23" t="str">
        <f ca="1">IFERROR(__xludf.DUMMYFUNCTION("GOOGLETRANSLATE(B174, ""en"", ""ru"")"),"Создает взрыв, который ущерб и ожогает что-нибудь поблизости после короткой задержки.")</f>
        <v>Создает взрыв, который ущерб и ожогает что-нибудь поблизости после короткой задержки.</v>
      </c>
      <c r="F174" s="23" t="str">
        <f ca="1">IFERROR(__xludf.DUMMYFUNCTION("GOOGLETRANSLATE(B174, ""en"", ""tr"")"),"Kısa bir gecikmeden sonra yakındaki herhangi bir şey zarar gören ve yanan bir patlama yaratır.")</f>
        <v>Kısa bir gecikmeden sonra yakındaki herhangi bir şey zarar gören ve yanan bir patlama yaratır.</v>
      </c>
      <c r="G174" s="23" t="str">
        <f ca="1">IFERROR(__xludf.DUMMYFUNCTION("GOOGLETRANSLATE(B174, ""en"", ""pt"")"),"Cria uma explosão que danifica e queima qualquer coisa próxima após um breve atraso.")</f>
        <v>Cria uma explosão que danifica e queima qualquer coisa próxima após um breve atraso.</v>
      </c>
      <c r="H174" s="24" t="str">
        <f ca="1">IFERROR(__xludf.DUMMYFUNCTION("GOOGLETRANSLATE(B174, ""en"", ""de"")"),"Erzeugt eine Explosion, die nach einer kurzen Verzögerung etwas in der Nähe beschädigt und verbrennt.")</f>
        <v>Erzeugt eine Explosion, die nach einer kurzen Verzögerung etwas in der Nähe beschädigt und verbrennt.</v>
      </c>
      <c r="I174" s="23" t="str">
        <f ca="1">IFERROR(__xludf.DUMMYFUNCTION("GOOGLETRANSLATE(B174, ""en"", ""pl"")"),"Tworzy eksplozję, która szkodzi i spala wszystko w pobliżu po krótkim opóźnieniu.")</f>
        <v>Tworzy eksplozję, która szkodzi i spala wszystko w pobliżu po krótkim opóźnieniu.</v>
      </c>
      <c r="J174" s="25" t="str">
        <f ca="1">IFERROR(__xludf.DUMMYFUNCTION("GOOGLETRANSLATE(B174, ""en"", ""zh"")"),"在短暂延迟后，造成损害和燃烧任何内容的爆炸。")</f>
        <v>在短暂延迟后，造成损害和燃烧任何内容的爆炸。</v>
      </c>
      <c r="K174" s="25" t="str">
        <f ca="1">IFERROR(__xludf.DUMMYFUNCTION("GOOGLETRANSLATE(B174, ""en"", ""vi"")"),"Tạo ra một vụ nổ làm hỏng và đốt cháy bất cứ thứ gì gần đó sau một thời gian chậm trễ.")</f>
        <v>Tạo ra một vụ nổ làm hỏng và đốt cháy bất cứ thứ gì gần đó sau một thời gian chậm trễ.</v>
      </c>
      <c r="L174" s="26" t="str">
        <f ca="1">IFERROR(__xludf.DUMMYFUNCTION("GOOGLETRANSLATE(B174, ""en"", ""hr"")"),"Stvara eksploziju koja oštećuje i gori bilo što u blizini nakon kratkog kašnjenja.")</f>
        <v>Stvara eksploziju koja oštećuje i gori bilo što u blizini nakon kratkog kašnjenja.</v>
      </c>
      <c r="M174" s="28"/>
      <c r="N174" s="28"/>
      <c r="O174" s="28"/>
      <c r="P174" s="28"/>
      <c r="Q174" s="28"/>
      <c r="R174" s="28"/>
      <c r="S174" s="28"/>
      <c r="T174" s="28"/>
      <c r="U174" s="28"/>
      <c r="V174" s="28"/>
      <c r="W174" s="28"/>
      <c r="X174" s="28"/>
      <c r="Y174" s="28"/>
      <c r="Z174" s="28"/>
      <c r="AA174" s="28"/>
      <c r="AB174" s="28"/>
    </row>
    <row r="175" spans="1:28" ht="14" x14ac:dyDescent="0.15">
      <c r="A175" s="21" t="s">
        <v>706</v>
      </c>
      <c r="B175" s="22" t="s">
        <v>707</v>
      </c>
      <c r="C175" s="23" t="str">
        <f ca="1">IFERROR(__xludf.DUMMYFUNCTION("GOOGLETRANSLATE(B175, ""en"", ""fr"")"),"Piéger")</f>
        <v>Piéger</v>
      </c>
      <c r="D175" s="23" t="str">
        <f ca="1">IFERROR(__xludf.DUMMYFUNCTION("GOOGLETRANSLATE(B175, ""en"", ""es"")"),"Trampa")</f>
        <v>Trampa</v>
      </c>
      <c r="E175" s="23" t="str">
        <f ca="1">IFERROR(__xludf.DUMMYFUNCTION("GOOGLETRANSLATE(B175, ""en"", ""ru"")"),"Ловушка")</f>
        <v>Ловушка</v>
      </c>
      <c r="F175" s="23" t="str">
        <f ca="1">IFERROR(__xludf.DUMMYFUNCTION("GOOGLETRANSLATE(B175, ""en"", ""tr"")"),"Tuzak kurmak")</f>
        <v>Tuzak kurmak</v>
      </c>
      <c r="G175" s="23" t="str">
        <f ca="1">IFERROR(__xludf.DUMMYFUNCTION("GOOGLETRANSLATE(B175, ""en"", ""pt"")"),"Armadilha")</f>
        <v>Armadilha</v>
      </c>
      <c r="H175" s="24" t="str">
        <f ca="1">IFERROR(__xludf.DUMMYFUNCTION("GOOGLETRANSLATE(B175, ""en"", ""de"")"),"Fangen")</f>
        <v>Fangen</v>
      </c>
      <c r="I175" s="23" t="str">
        <f ca="1">IFERROR(__xludf.DUMMYFUNCTION("GOOGLETRANSLATE(B175, ""en"", ""pl"")"),"Pułapka")</f>
        <v>Pułapka</v>
      </c>
      <c r="J175" s="25" t="str">
        <f ca="1">IFERROR(__xludf.DUMMYFUNCTION("GOOGLETRANSLATE(B175, ""en"", ""zh"")"),"陷阱")</f>
        <v>陷阱</v>
      </c>
      <c r="K175" s="25" t="str">
        <f ca="1">IFERROR(__xludf.DUMMYFUNCTION("GOOGLETRANSLATE(B175, ""en"", ""vi"")"),"Cạm bẫy")</f>
        <v>Cạm bẫy</v>
      </c>
      <c r="L175" s="26" t="str">
        <f ca="1">IFERROR(__xludf.DUMMYFUNCTION("GOOGLETRANSLATE(B175, ""en"", ""hr"")"),"Zamka")</f>
        <v>Zamka</v>
      </c>
      <c r="M175" s="28"/>
      <c r="N175" s="28"/>
      <c r="O175" s="28"/>
      <c r="P175" s="28"/>
      <c r="Q175" s="28"/>
      <c r="R175" s="28"/>
      <c r="S175" s="28"/>
      <c r="T175" s="28"/>
      <c r="U175" s="28"/>
      <c r="V175" s="28"/>
      <c r="W175" s="28"/>
      <c r="X175" s="28"/>
      <c r="Y175" s="28"/>
      <c r="Z175" s="28"/>
      <c r="AA175" s="28"/>
      <c r="AB175" s="28"/>
    </row>
    <row r="176" spans="1:28" ht="42" x14ac:dyDescent="0.15">
      <c r="A176" s="21" t="s">
        <v>708</v>
      </c>
      <c r="B176" s="22" t="s">
        <v>709</v>
      </c>
      <c r="C176" s="23" t="str">
        <f ca="1">IFERROR(__xludf.DUMMYFUNCTION("GOOGLETRANSLATE(B176, ""en"", ""fr"")"),"Endommage quelque chose qui marche sur elle.")</f>
        <v>Endommage quelque chose qui marche sur elle.</v>
      </c>
      <c r="D176" s="23" t="str">
        <f ca="1">IFERROR(__xludf.DUMMYFUNCTION("GOOGLETRANSLATE(B176, ""en"", ""es"")"),"Daña cualquier cosa que eso le pase.")</f>
        <v>Daña cualquier cosa que eso le pase.</v>
      </c>
      <c r="E176" s="23" t="str">
        <f ca="1">IFERROR(__xludf.DUMMYFUNCTION("GOOGLETRANSLATE(B176, ""en"", ""ru"")"),"Ущерб чему по этим шагам на нем.")</f>
        <v>Ущерб чему по этим шагам на нем.</v>
      </c>
      <c r="F176" s="23" t="str">
        <f ca="1">IFERROR(__xludf.DUMMYFUNCTION("GOOGLETRANSLATE(B176, ""en"", ""tr"")"),"Üzerinde adım atan bir şeye zarar verir.")</f>
        <v>Üzerinde adım atan bir şeye zarar verir.</v>
      </c>
      <c r="G176" s="23" t="str">
        <f ca="1">IFERROR(__xludf.DUMMYFUNCTION("GOOGLETRANSLATE(B176, ""en"", ""pt"")"),"Danifica qualquer coisa que passe nele.")</f>
        <v>Danifica qualquer coisa que passe nele.</v>
      </c>
      <c r="H176" s="24" t="str">
        <f ca="1">IFERROR(__xludf.DUMMYFUNCTION("GOOGLETRANSLATE(B176, ""en"", ""de"")"),"Beschädigt alles, was dran ist.")</f>
        <v>Beschädigt alles, was dran ist.</v>
      </c>
      <c r="I176" s="23" t="str">
        <f ca="1">IFERROR(__xludf.DUMMYFUNCTION("GOOGLETRANSLATE(B176, ""en"", ""pl"")"),"Uszkadza wszystko, co się na niej kroki.")</f>
        <v>Uszkadza wszystko, co się na niej kroki.</v>
      </c>
      <c r="J176" s="25" t="str">
        <f ca="1">IFERROR(__xludf.DUMMYFUNCTION("GOOGLETRANSLATE(B176, ""en"", ""zh"")"),"损害任何踩到它的东西。")</f>
        <v>损害任何踩到它的东西。</v>
      </c>
      <c r="K176" s="25" t="str">
        <f ca="1">IFERROR(__xludf.DUMMYFUNCTION("GOOGLETRANSLATE(B176, ""en"", ""vi"")"),"Làm hỏng bất cứ điều gì các bước trên nó.")</f>
        <v>Làm hỏng bất cứ điều gì các bước trên nó.</v>
      </c>
      <c r="L176" s="26" t="str">
        <f ca="1">IFERROR(__xludf.DUMMYFUNCTION("GOOGLETRANSLATE(B176, ""en"", ""hr"")"),"Šteti sve što se kreće na njega.")</f>
        <v>Šteti sve što se kreće na njega.</v>
      </c>
      <c r="M176" s="28"/>
      <c r="N176" s="28"/>
      <c r="O176" s="28"/>
      <c r="P176" s="28"/>
      <c r="Q176" s="28"/>
      <c r="R176" s="28"/>
      <c r="S176" s="28"/>
      <c r="T176" s="28"/>
      <c r="U176" s="28"/>
      <c r="V176" s="28"/>
      <c r="W176" s="28"/>
      <c r="X176" s="28"/>
      <c r="Y176" s="28"/>
      <c r="Z176" s="28"/>
      <c r="AA176" s="28"/>
      <c r="AB176" s="28"/>
    </row>
    <row r="177" spans="1:28" ht="14" x14ac:dyDescent="0.15">
      <c r="A177" s="21" t="s">
        <v>710</v>
      </c>
      <c r="B177" s="22" t="s">
        <v>711</v>
      </c>
      <c r="C177" s="23" t="str">
        <f ca="1">IFERROR(__xludf.DUMMYFUNCTION("GOOGLETRANSLATE(B177, ""en"", ""fr"")"),"Shard de glace")</f>
        <v>Shard de glace</v>
      </c>
      <c r="D177" s="23" t="str">
        <f ca="1">IFERROR(__xludf.DUMMYFUNCTION("GOOGLETRANSLATE(B177, ""en"", ""es"")"),"Fragmento de hielo")</f>
        <v>Fragmento de hielo</v>
      </c>
      <c r="E177" s="23" t="str">
        <f ca="1">IFERROR(__xludf.DUMMYFUNCTION("GOOGLETRANSLATE(B177, ""en"", ""ru"")"),"Ощупь")</f>
        <v>Ощупь</v>
      </c>
      <c r="F177" s="23" t="str">
        <f ca="1">IFERROR(__xludf.DUMMYFUNCTION("GOOGLETRANSLATE(B177, ""en"", ""tr"")"),"Buz Shard")</f>
        <v>Buz Shard</v>
      </c>
      <c r="G177" s="23" t="str">
        <f ca="1">IFERROR(__xludf.DUMMYFUNCTION("GOOGLETRANSLATE(B177, ""en"", ""pt"")"),"Pedaço de gelo")</f>
        <v>Pedaço de gelo</v>
      </c>
      <c r="H177" s="24" t="str">
        <f ca="1">IFERROR(__xludf.DUMMYFUNCTION("GOOGLETRANSLATE(B177, ""en"", ""de"")"),"Eisscholle")</f>
        <v>Eisscholle</v>
      </c>
      <c r="I177" s="23" t="str">
        <f ca="1">IFERROR(__xludf.DUMMYFUNCTION("GOOGLETRANSLATE(B177, ""en"", ""pl"")"),"Odłamek lodu")</f>
        <v>Odłamek lodu</v>
      </c>
      <c r="J177" s="25" t="str">
        <f ca="1">IFERROR(__xludf.DUMMYFUNCTION("GOOGLETRANSLATE(B177, ""en"", ""zh"")"),"冰碎片")</f>
        <v>冰碎片</v>
      </c>
      <c r="K177" s="25" t="str">
        <f ca="1">IFERROR(__xludf.DUMMYFUNCTION("GOOGLETRANSLATE(B177, ""en"", ""vi"")"),"Mảnh băng")</f>
        <v>Mảnh băng</v>
      </c>
      <c r="L177" s="26" t="str">
        <f ca="1">IFERROR(__xludf.DUMMYFUNCTION("GOOGLETRANSLATE(B177, ""en"", ""hr"")"),"Krhotina")</f>
        <v>Krhotina</v>
      </c>
      <c r="M177" s="28"/>
      <c r="N177" s="28"/>
      <c r="O177" s="28"/>
      <c r="P177" s="28"/>
      <c r="Q177" s="28"/>
      <c r="R177" s="28"/>
      <c r="S177" s="28"/>
      <c r="T177" s="28"/>
      <c r="U177" s="28"/>
      <c r="V177" s="28"/>
      <c r="W177" s="28"/>
      <c r="X177" s="28"/>
      <c r="Y177" s="28"/>
      <c r="Z177" s="28"/>
      <c r="AA177" s="28"/>
      <c r="AB177" s="28"/>
    </row>
    <row r="178" spans="1:28" ht="70" x14ac:dyDescent="0.15">
      <c r="A178" s="21" t="s">
        <v>712</v>
      </c>
      <c r="B178" s="22" t="s">
        <v>713</v>
      </c>
      <c r="C178" s="23" t="str">
        <f ca="1">IFERROR(__xludf.DUMMYFUNCTION("GOOGLETRANSLATE(B178, ""en"", ""fr"")"),"Un morceau de glace. Utilisé pour fabriquer des objets avec un effet de froid.")</f>
        <v>Un morceau de glace. Utilisé pour fabriquer des objets avec un effet de froid.</v>
      </c>
      <c r="D178" s="23" t="str">
        <f ca="1">IFERROR(__xludf.DUMMYFUNCTION("GOOGLETRANSLATE(B178, ""en"", ""es"")"),"Un trozo de hielo. Se utiliza para elaborar artículos con un efecto frío.")</f>
        <v>Un trozo de hielo. Se utiliza para elaborar artículos con un efecto frío.</v>
      </c>
      <c r="E178" s="23" t="str">
        <f ca="1">IFERROR(__xludf.DUMMYFUNCTION("GOOGLETRANSLATE(B178, ""en"", ""ru"")"),"Кусок льда. Используется для создания предметов с помощью холода.")</f>
        <v>Кусок льда. Используется для создания предметов с помощью холода.</v>
      </c>
      <c r="F178" s="23" t="str">
        <f ca="1">IFERROR(__xludf.DUMMYFUNCTION("GOOGLETRANSLATE(B178, ""en"", ""tr"")"),"Bir buz parçası. Ürperti bir etkisi olan eşyaları zanaat etmek için kullanılır.")</f>
        <v>Bir buz parçası. Ürperti bir etkisi olan eşyaları zanaat etmek için kullanılır.</v>
      </c>
      <c r="G178" s="23" t="str">
        <f ca="1">IFERROR(__xludf.DUMMYFUNCTION("GOOGLETRANSLATE(B178, ""en"", ""pt"")"),"Um pedaço de gelo. Usado para criar itens com efeito frio.")</f>
        <v>Um pedaço de gelo. Usado para criar itens com efeito frio.</v>
      </c>
      <c r="H178" s="24" t="str">
        <f ca="1">IFERROR(__xludf.DUMMYFUNCTION("GOOGLETRANSLATE(B178, ""en"", ""de"")"),"Ein Stück Eis. Verwendet, um Gegenstände mit einem Kühl-Effekt zu erzeugen.")</f>
        <v>Ein Stück Eis. Verwendet, um Gegenstände mit einem Kühl-Effekt zu erzeugen.</v>
      </c>
      <c r="I178" s="23" t="str">
        <f ca="1">IFERROR(__xludf.DUMMYFUNCTION("GOOGLETRANSLATE(B178, ""en"", ""pl"")"),"Kawałek lodu. Używany do rzemieślniczych przedmiotów z szybkim efektem.")</f>
        <v>Kawałek lodu. Używany do rzemieślniczych przedmiotów z szybkim efektem.</v>
      </c>
      <c r="J178" s="25" t="str">
        <f ca="1">IFERROR(__xludf.DUMMYFUNCTION("GOOGLETRANSLATE(B178, ""en"", ""zh"")"),"一块冰。用来用寒冷效果来制作物品。")</f>
        <v>一块冰。用来用寒冷效果来制作物品。</v>
      </c>
      <c r="K178" s="25" t="str">
        <f ca="1">IFERROR(__xludf.DUMMYFUNCTION("GOOGLETRANSLATE(B178, ""en"", ""vi"")"),"Một khối băng. Được sử dụng để thủ công các mặt hàng với hiệu ứng lạnh.")</f>
        <v>Một khối băng. Được sử dụng để thủ công các mặt hàng với hiệu ứng lạnh.</v>
      </c>
      <c r="L178" s="26" t="str">
        <f ca="1">IFERROR(__xludf.DUMMYFUNCTION("GOOGLETRANSLATE(B178, ""en"", ""hr"")"),"Komad leda. Koristi se za obrt stavke s chill efekt.")</f>
        <v>Komad leda. Koristi se za obrt stavke s chill efekt.</v>
      </c>
      <c r="M178" s="28"/>
      <c r="N178" s="28"/>
      <c r="O178" s="28"/>
      <c r="P178" s="28"/>
      <c r="Q178" s="28"/>
      <c r="R178" s="28"/>
      <c r="S178" s="28"/>
      <c r="T178" s="28"/>
      <c r="U178" s="28"/>
      <c r="V178" s="28"/>
      <c r="W178" s="28"/>
      <c r="X178" s="28"/>
      <c r="Y178" s="28"/>
      <c r="Z178" s="28"/>
      <c r="AA178" s="28"/>
      <c r="AB178" s="28"/>
    </row>
    <row r="179" spans="1:28" ht="14" x14ac:dyDescent="0.15">
      <c r="A179" s="21" t="s">
        <v>714</v>
      </c>
      <c r="B179" s="22" t="s">
        <v>715</v>
      </c>
      <c r="C179" s="23" t="str">
        <f ca="1">IFERROR(__xludf.DUMMYFUNCTION("GOOGLETRANSLATE(B179, ""en"", ""fr"")"),"Gemme")</f>
        <v>Gemme</v>
      </c>
      <c r="D179" s="23" t="str">
        <f ca="1">IFERROR(__xludf.DUMMYFUNCTION("GOOGLETRANSLATE(B179, ""en"", ""es"")"),"Joya")</f>
        <v>Joya</v>
      </c>
      <c r="E179" s="23" t="str">
        <f ca="1">IFERROR(__xludf.DUMMYFUNCTION("GOOGLETRANSLATE(B179, ""en"", ""ru"")"),"Драгоценность")</f>
        <v>Драгоценность</v>
      </c>
      <c r="F179" s="23" t="str">
        <f ca="1">IFERROR(__xludf.DUMMYFUNCTION("GOOGLETRANSLATE(B179, ""en"", ""tr"")"),"Mücevher")</f>
        <v>Mücevher</v>
      </c>
      <c r="G179" s="23" t="str">
        <f ca="1">IFERROR(__xludf.DUMMYFUNCTION("GOOGLETRANSLATE(B179, ""en"", ""pt"")"),"Gema")</f>
        <v>Gema</v>
      </c>
      <c r="H179" s="24" t="str">
        <f ca="1">IFERROR(__xludf.DUMMYFUNCTION("GOOGLETRANSLATE(B179, ""en"", ""de"")"),"Juwel")</f>
        <v>Juwel</v>
      </c>
      <c r="I179" s="23" t="str">
        <f ca="1">IFERROR(__xludf.DUMMYFUNCTION("GOOGLETRANSLATE(B179, ""en"", ""pl"")"),"Klejnot")</f>
        <v>Klejnot</v>
      </c>
      <c r="J179" s="25" t="str">
        <f ca="1">IFERROR(__xludf.DUMMYFUNCTION("GOOGLETRANSLATE(B179, ""en"", ""zh"")"),"宝石")</f>
        <v>宝石</v>
      </c>
      <c r="K179" s="25" t="str">
        <f ca="1">IFERROR(__xludf.DUMMYFUNCTION("GOOGLETRANSLATE(B179, ""en"", ""vi"")"),"Gem.")</f>
        <v>Gem.</v>
      </c>
      <c r="L179" s="26" t="str">
        <f ca="1">IFERROR(__xludf.DUMMYFUNCTION("GOOGLETRANSLATE(B179, ""en"", ""hr"")"),"Dragulj")</f>
        <v>Dragulj</v>
      </c>
      <c r="M179" s="28"/>
      <c r="N179" s="28"/>
      <c r="O179" s="28"/>
      <c r="P179" s="28"/>
      <c r="Q179" s="28"/>
      <c r="R179" s="28"/>
      <c r="S179" s="28"/>
      <c r="T179" s="28"/>
      <c r="U179" s="28"/>
      <c r="V179" s="28"/>
      <c r="W179" s="28"/>
      <c r="X179" s="28"/>
      <c r="Y179" s="28"/>
      <c r="Z179" s="28"/>
      <c r="AA179" s="28"/>
      <c r="AB179" s="28"/>
    </row>
    <row r="180" spans="1:28" ht="84" x14ac:dyDescent="0.15">
      <c r="A180" s="21" t="s">
        <v>716</v>
      </c>
      <c r="B180" s="22" t="s">
        <v>717</v>
      </c>
      <c r="C180" s="23" t="str">
        <f ca="1">IFERROR(__xludf.DUMMYFUNCTION("GOOGLETRANSLATE(B180, ""en"", ""fr"")"),"Peut être chargé à un autel magique à l'aide de la gloire pour ajouter un effet élémentaire.")</f>
        <v>Peut être chargé à un autel magique à l'aide de la gloire pour ajouter un effet élémentaire.</v>
      </c>
      <c r="D180" s="23" t="str">
        <f ca="1">IFERROR(__xludf.DUMMYFUNCTION("GOOGLETRANSLATE(B180, ""en"", ""es"")"),"Se puede cargar en un altar mágico con gloria para agregar un efecto elemental.")</f>
        <v>Se puede cargar en un altar mágico con gloria para agregar un efecto elemental.</v>
      </c>
      <c r="E180" s="23" t="str">
        <f ca="1">IFERROR(__xludf.DUMMYFUNCTION("GOOGLETRANSLATE(B180,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80" s="23" t="str">
        <f ca="1">IFERROR(__xludf.DUMMYFUNCTION("GOOGLETRANSLATE(B180, ""en"", ""tr"")"),"Elemental bir etki eklemek için zafer kullanarak sihirli bir sunakta şarj edilebilir.")</f>
        <v>Elemental bir etki eklemek için zafer kullanarak sihirli bir sunakta şarj edilebilir.</v>
      </c>
      <c r="G180" s="23" t="str">
        <f ca="1">IFERROR(__xludf.DUMMYFUNCTION("GOOGLETRANSLATE(B180, ""en"", ""pt"")"),"Pode ser cobrado em um altar mágico usando glória para adicionar um efeito elementar.")</f>
        <v>Pode ser cobrado em um altar mágico usando glória para adicionar um efeito elementar.</v>
      </c>
      <c r="H180" s="24" t="str">
        <f ca="1">IFERROR(__xludf.DUMMYFUNCTION("GOOGLETRANSLATE(B180, ""en"", ""de"")"),"Kann in einem magischen Altar mit Ehre aufgeladen werden, um einen elementaren Effekt hinzuzufügen.")</f>
        <v>Kann in einem magischen Altar mit Ehre aufgeladen werden, um einen elementaren Effekt hinzuzufügen.</v>
      </c>
      <c r="I180" s="23" t="str">
        <f ca="1">IFERROR(__xludf.DUMMYFUNCTION("GOOGLETRANSLATE(B180, ""en"", ""pl"")"),"Może być ładowany w magicznym ołtarzu przy użyciu chwały, aby dodać efekt elementarny.")</f>
        <v>Może być ładowany w magicznym ołtarzu przy użyciu chwały, aby dodać efekt elementarny.</v>
      </c>
      <c r="J180" s="25" t="str">
        <f ca="1">IFERROR(__xludf.DUMMYFUNCTION("GOOGLETRANSLATE(B180, ""en"", ""zh"")"),"可以在魔术祭坛上充电，使用辉光添加元素效果。")</f>
        <v>可以在魔术祭坛上充电，使用辉光添加元素效果。</v>
      </c>
      <c r="K180" s="25" t="str">
        <f ca="1">IFERROR(__xludf.DUMMYFUNCTION("GOOGLETRANSLATE(B180, ""en"", ""vi"")"),"Có thể bị buộc tội tại một bàn thờ ma thuật sử dụng vinh quang để thêm một hiệu ứng nguyên tố.")</f>
        <v>Có thể bị buộc tội tại một bàn thờ ma thuật sử dụng vinh quang để thêm một hiệu ứng nguyên tố.</v>
      </c>
      <c r="L180" s="26" t="str">
        <f ca="1">IFERROR(__xludf.DUMMYFUNCTION("GOOGLETRANSLATE(B180, ""en"", ""hr"")"),"Može se naplaćivati ​​na čarobnom oltaru pomoću slave za dodavanje elementarnog učinka.")</f>
        <v>Može se naplaćivati ​​na čarobnom oltaru pomoću slave za dodavanje elementarnog učinka.</v>
      </c>
      <c r="M180" s="28"/>
      <c r="N180" s="28"/>
      <c r="O180" s="28"/>
      <c r="P180" s="28"/>
      <c r="Q180" s="28"/>
      <c r="R180" s="28"/>
      <c r="S180" s="28"/>
      <c r="T180" s="28"/>
      <c r="U180" s="28"/>
      <c r="V180" s="28"/>
      <c r="W180" s="28"/>
      <c r="X180" s="28"/>
      <c r="Y180" s="28"/>
      <c r="Z180" s="28"/>
      <c r="AA180" s="28"/>
      <c r="AB180" s="28"/>
    </row>
    <row r="181" spans="1:28" ht="28" x14ac:dyDescent="0.15">
      <c r="A181" s="21" t="s">
        <v>718</v>
      </c>
      <c r="B181" s="22" t="s">
        <v>719</v>
      </c>
      <c r="C181" s="23" t="str">
        <f ca="1">IFERROR(__xludf.DUMMYFUNCTION("GOOGLETRANSLATE(B181, ""en"", ""fr"")"),"Gemme de feu")</f>
        <v>Gemme de feu</v>
      </c>
      <c r="D181" s="23" t="str">
        <f ca="1">IFERROR(__xludf.DUMMYFUNCTION("GOOGLETRANSLATE(B181, ""en"", ""es"")"),"Gema de fuego")</f>
        <v>Gema de fuego</v>
      </c>
      <c r="E181" s="23" t="str">
        <f ca="1">IFERROR(__xludf.DUMMYFUNCTION("GOOGLETRANSLATE(B181, ""en"", ""ru"")"),"Пожарная драгоценность")</f>
        <v>Пожарная драгоценность</v>
      </c>
      <c r="F181" s="23" t="str">
        <f ca="1">IFERROR(__xludf.DUMMYFUNCTION("GOOGLETRANSLATE(B181, ""en"", ""tr"")"),"Ateş mücevher")</f>
        <v>Ateş mücevher</v>
      </c>
      <c r="G181" s="23" t="str">
        <f ca="1">IFERROR(__xludf.DUMMYFUNCTION("GOOGLETRANSLATE(B181, ""en"", ""pt"")"),"Gema de fogo")</f>
        <v>Gema de fogo</v>
      </c>
      <c r="H181" s="24" t="str">
        <f ca="1">IFERROR(__xludf.DUMMYFUNCTION("GOOGLETRANSLATE(B181, ""en"", ""de"")"),"Feuerwein")</f>
        <v>Feuerwein</v>
      </c>
      <c r="I181" s="23" t="str">
        <f ca="1">IFERROR(__xludf.DUMMYFUNCTION("GOOGLETRANSLATE(B181, ""en"", ""pl"")"),"Gem ognia")</f>
        <v>Gem ognia</v>
      </c>
      <c r="J181" s="25" t="str">
        <f ca="1">IFERROR(__xludf.DUMMYFUNCTION("GOOGLETRANSLATE(B181, ""en"", ""zh"")"),"火宝石")</f>
        <v>火宝石</v>
      </c>
      <c r="K181" s="25" t="str">
        <f ca="1">IFERROR(__xludf.DUMMYFUNCTION("GOOGLETRANSLATE(B181, ""en"", ""vi"")"),"Ngọc hỏa")</f>
        <v>Ngọc hỏa</v>
      </c>
      <c r="L181" s="26" t="str">
        <f ca="1">IFERROR(__xludf.DUMMYFUNCTION("GOOGLETRANSLATE(B181, ""en"", ""hr"")"),"Vatra")</f>
        <v>Vatra</v>
      </c>
      <c r="M181" s="28"/>
      <c r="N181" s="28"/>
      <c r="O181" s="28"/>
      <c r="P181" s="28"/>
      <c r="Q181" s="28"/>
      <c r="R181" s="28"/>
      <c r="S181" s="28"/>
      <c r="T181" s="28"/>
      <c r="U181" s="28"/>
      <c r="V181" s="28"/>
      <c r="W181" s="28"/>
      <c r="X181" s="28"/>
      <c r="Y181" s="28"/>
      <c r="Z181" s="28"/>
      <c r="AA181" s="28"/>
      <c r="AB181" s="28"/>
    </row>
    <row r="182" spans="1:28" ht="56" x14ac:dyDescent="0.15">
      <c r="A182" s="21" t="s">
        <v>720</v>
      </c>
      <c r="B182" s="22" t="s">
        <v>721</v>
      </c>
      <c r="C182" s="23" t="str">
        <f ca="1">IFERROR(__xludf.DUMMYFUNCTION("GOOGLETRANSLATE(B182, ""en"", ""fr"")"),"Utilisé pour fabriquer des objets avec un effet de feu.")</f>
        <v>Utilisé pour fabriquer des objets avec un effet de feu.</v>
      </c>
      <c r="D182" s="23" t="str">
        <f ca="1">IFERROR(__xludf.DUMMYFUNCTION("GOOGLETRANSLATE(B182, ""en"", ""es"")"),"Se utiliza para crear artículos con un efecto de incendio.")</f>
        <v>Se utiliza para crear artículos con un efecto de incendio.</v>
      </c>
      <c r="E182" s="23" t="str">
        <f ca="1">IFERROR(__xludf.DUMMYFUNCTION("GOOGLETRANSLATE(B182, ""en"", ""ru"")"),"Используется для создания предметов с пожарным эффектом.")</f>
        <v>Используется для создания предметов с пожарным эффектом.</v>
      </c>
      <c r="F182" s="23" t="str">
        <f ca="1">IFERROR(__xludf.DUMMYFUNCTION("GOOGLETRANSLATE(B182, ""en"", ""tr"")"),"Yangın etkisi olan eşyaları zanaat etmek için kullanılır.")</f>
        <v>Yangın etkisi olan eşyaları zanaat etmek için kullanılır.</v>
      </c>
      <c r="G182" s="23" t="str">
        <f ca="1">IFERROR(__xludf.DUMMYFUNCTION("GOOGLETRANSLATE(B182, ""en"", ""pt"")"),"Usado para artesanais com efeito de incêndio.")</f>
        <v>Usado para artesanais com efeito de incêndio.</v>
      </c>
      <c r="H182" s="24" t="str">
        <f ca="1">IFERROR(__xludf.DUMMYFUNCTION("GOOGLETRANSLATE(B182, ""en"", ""de"")"),"Verwendet, um Gegenstände mit einem Brandwirkung zu erzeugen.")</f>
        <v>Verwendet, um Gegenstände mit einem Brandwirkung zu erzeugen.</v>
      </c>
      <c r="I182" s="23" t="str">
        <f ca="1">IFERROR(__xludf.DUMMYFUNCTION("GOOGLETRANSLATE(B182, ""en"", ""pl"")"),"Używane do rzemiosła przedmiotów z efektem pożarowym.")</f>
        <v>Używane do rzemiosła przedmiotów z efektem pożarowym.</v>
      </c>
      <c r="J182" s="25" t="str">
        <f ca="1">IFERROR(__xludf.DUMMYFUNCTION("GOOGLETRANSLATE(B182, ""en"", ""zh"")"),"用来用火效效果来制作物品。")</f>
        <v>用来用火效效果来制作物品。</v>
      </c>
      <c r="K182" s="25" t="str">
        <f ca="1">IFERROR(__xludf.DUMMYFUNCTION("GOOGLETRANSLATE(B182, ""en"", ""vi"")"),"Được sử dụng để thủ công các vật phẩm có hiệu ứng hỏa hoạn.")</f>
        <v>Được sử dụng để thủ công các vật phẩm có hiệu ứng hỏa hoạn.</v>
      </c>
      <c r="L182" s="26" t="str">
        <f ca="1">IFERROR(__xludf.DUMMYFUNCTION("GOOGLETRANSLATE(B182, ""en"", ""hr"")"),"Koristi se za obrt stavke s efektom požara.")</f>
        <v>Koristi se za obrt stavke s efektom požara.</v>
      </c>
      <c r="M182" s="28"/>
      <c r="N182" s="28"/>
      <c r="O182" s="28"/>
      <c r="P182" s="28"/>
      <c r="Q182" s="28"/>
      <c r="R182" s="28"/>
      <c r="S182" s="28"/>
      <c r="T182" s="28"/>
      <c r="U182" s="28"/>
      <c r="V182" s="28"/>
      <c r="W182" s="28"/>
      <c r="X182" s="28"/>
      <c r="Y182" s="28"/>
      <c r="Z182" s="28"/>
      <c r="AA182" s="28"/>
      <c r="AB182" s="28"/>
    </row>
    <row r="183" spans="1:28" ht="14" x14ac:dyDescent="0.15">
      <c r="A183" s="21" t="s">
        <v>722</v>
      </c>
      <c r="B183" s="22" t="s">
        <v>723</v>
      </c>
      <c r="C183" s="23" t="str">
        <f ca="1">IFERROR(__xludf.DUMMYFUNCTION("GOOGLETRANSLATE(B183, ""en"", ""fr"")"),"Flamme éternelle")</f>
        <v>Flamme éternelle</v>
      </c>
      <c r="D183" s="23" t="str">
        <f ca="1">IFERROR(__xludf.DUMMYFUNCTION("GOOGLETRANSLATE(B183, ""en"", ""es"")"),"Llama eterna")</f>
        <v>Llama eterna</v>
      </c>
      <c r="E183" s="23" t="str">
        <f ca="1">IFERROR(__xludf.DUMMYFUNCTION("GOOGLETRANSLATE(B183, ""en"", ""ru"")"),"Вечный огонь")</f>
        <v>Вечный огонь</v>
      </c>
      <c r="F183" s="23" t="str">
        <f ca="1">IFERROR(__xludf.DUMMYFUNCTION("GOOGLETRANSLATE(B183, ""en"", ""tr"")"),"Ebedi Alev")</f>
        <v>Ebedi Alev</v>
      </c>
      <c r="G183" s="23" t="str">
        <f ca="1">IFERROR(__xludf.DUMMYFUNCTION("GOOGLETRANSLATE(B183, ""en"", ""pt"")"),"Chama eterna")</f>
        <v>Chama eterna</v>
      </c>
      <c r="H183" s="24" t="str">
        <f ca="1">IFERROR(__xludf.DUMMYFUNCTION("GOOGLETRANSLATE(B183, ""en"", ""de"")"),"Ewige Flamme")</f>
        <v>Ewige Flamme</v>
      </c>
      <c r="I183" s="23" t="str">
        <f ca="1">IFERROR(__xludf.DUMMYFUNCTION("GOOGLETRANSLATE(B183, ""en"", ""pl"")"),"Wieczny płomień")</f>
        <v>Wieczny płomień</v>
      </c>
      <c r="J183" s="25" t="str">
        <f ca="1">IFERROR(__xludf.DUMMYFUNCTION("GOOGLETRANSLATE(B183, ""en"", ""zh"")"),"永恒之火")</f>
        <v>永恒之火</v>
      </c>
      <c r="K183" s="25" t="str">
        <f ca="1">IFERROR(__xludf.DUMMYFUNCTION("GOOGLETRANSLATE(B183, ""en"", ""vi"")"),"Ngọn lửa vĩnh cửu")</f>
        <v>Ngọn lửa vĩnh cửu</v>
      </c>
      <c r="L183" s="26" t="str">
        <f ca="1">IFERROR(__xludf.DUMMYFUNCTION("GOOGLETRANSLATE(B183, ""en"", ""hr"")"),"Vječni plamen")</f>
        <v>Vječni plamen</v>
      </c>
      <c r="M183" s="28"/>
      <c r="N183" s="28"/>
      <c r="O183" s="28"/>
      <c r="P183" s="28"/>
      <c r="Q183" s="28"/>
      <c r="R183" s="28"/>
      <c r="S183" s="28"/>
      <c r="T183" s="28"/>
      <c r="U183" s="28"/>
      <c r="V183" s="28"/>
      <c r="W183" s="28"/>
      <c r="X183" s="28"/>
      <c r="Y183" s="28"/>
      <c r="Z183" s="28"/>
      <c r="AA183" s="28"/>
      <c r="AB183" s="28"/>
    </row>
    <row r="184" spans="1:28" ht="70" x14ac:dyDescent="0.15">
      <c r="A184" s="21" t="s">
        <v>724</v>
      </c>
      <c r="B184" s="22" t="s">
        <v>725</v>
      </c>
      <c r="C184" s="23" t="str">
        <f ca="1">IFERROR(__xludf.DUMMYFUNCTION("GOOGLETRANSLATE(B184, ""en"", ""fr"")"),"Une essence de feu volée du monde souterrain qui peut brûler pour toujours.")</f>
        <v>Une essence de feu volée du monde souterrain qui peut brûler pour toujours.</v>
      </c>
      <c r="D184" s="23" t="str">
        <f ca="1">IFERROR(__xludf.DUMMYFUNCTION("GOOGLETRANSLATE(B184, ""en"", ""es"")"),"Una esencia de fuego robada del inframundo que puede quemar para siempre.")</f>
        <v>Una esencia de fuego robada del inframundo que puede quemar para siempre.</v>
      </c>
      <c r="E184" s="23" t="str">
        <f ca="1">IFERROR(__xludf.DUMMYFUNCTION("GOOGLETRANSLATE(B184, ""en"", ""ru"")"),"Суть огня украдена от подземного мира, который может гореть вечно.")</f>
        <v>Суть огня украдена от подземного мира, который может гореть вечно.</v>
      </c>
      <c r="F184" s="23" t="str">
        <f ca="1">IFERROR(__xludf.DUMMYFUNCTION("GOOGLETRANSLATE(B184, ""en"", ""tr"")"),"Sonsuza dek yakabilen yeraltı dünyasından çalınan bir esans.")</f>
        <v>Sonsuza dek yakabilen yeraltı dünyasından çalınan bir esans.</v>
      </c>
      <c r="G184" s="23" t="str">
        <f ca="1">IFERROR(__xludf.DUMMYFUNCTION("GOOGLETRANSLATE(B184, ""en"", ""pt"")"),"Uma essência de fogo roubado do submundo que pode queimar para sempre.")</f>
        <v>Uma essência de fogo roubado do submundo que pode queimar para sempre.</v>
      </c>
      <c r="H184" s="24" t="str">
        <f ca="1">IFERROR(__xludf.DUMMYFUNCTION("GOOGLETRANSLATE(B184, ""en"", ""de"")"),"Ein Wesen des Feuers, das aus der Unterwelt gestohlen wurde, die für immer verbrennen kann.")</f>
        <v>Ein Wesen des Feuers, das aus der Unterwelt gestohlen wurde, die für immer verbrennen kann.</v>
      </c>
      <c r="I184" s="23" t="str">
        <f ca="1">IFERROR(__xludf.DUMMYFUNCTION("GOOGLETRANSLATE(B184, ""en"", ""pl"")"),"Istota pożaru skradziona z podziemia, która może palić na zawsze.")</f>
        <v>Istota pożaru skradziona z podziemia, która może palić na zawsze.</v>
      </c>
      <c r="J184" s="25" t="str">
        <f ca="1">IFERROR(__xludf.DUMMYFUNCTION("GOOGLETRANSLATE(B184, ""en"", ""zh"")"),"从黑社会中偷了火焰的精髓，可以永远燃烧。")</f>
        <v>从黑社会中偷了火焰的精髓，可以永远燃烧。</v>
      </c>
      <c r="K184" s="25" t="str">
        <f ca="1">IFERROR(__xludf.DUMMYFUNCTION("GOOGLETRANSLATE(B184, ""en"", ""vi"")"),"Một bản chất của lửa bị đánh cắp từ thế giới ngầm có thể đốt cháy mãi mãi.")</f>
        <v>Một bản chất của lửa bị đánh cắp từ thế giới ngầm có thể đốt cháy mãi mãi.</v>
      </c>
      <c r="L184" s="26" t="str">
        <f ca="1">IFERROR(__xludf.DUMMYFUNCTION("GOOGLETRANSLATE(B184, ""en"", ""hr"")"),"Suština požara ukradena iz podzemlja koja može zauvijek spaliti.")</f>
        <v>Suština požara ukradena iz podzemlja koja može zauvijek spaliti.</v>
      </c>
      <c r="M184" s="28"/>
      <c r="N184" s="28"/>
      <c r="O184" s="28"/>
      <c r="P184" s="28"/>
      <c r="Q184" s="28"/>
      <c r="R184" s="28"/>
      <c r="S184" s="28"/>
      <c r="T184" s="28"/>
      <c r="U184" s="28"/>
      <c r="V184" s="28"/>
      <c r="W184" s="28"/>
      <c r="X184" s="28"/>
      <c r="Y184" s="28"/>
      <c r="Z184" s="28"/>
      <c r="AA184" s="28"/>
      <c r="AB184" s="28"/>
    </row>
    <row r="185" spans="1:28" ht="14" x14ac:dyDescent="0.15">
      <c r="A185" s="21" t="s">
        <v>726</v>
      </c>
      <c r="B185" s="22" t="s">
        <v>727</v>
      </c>
      <c r="C185" s="23" t="str">
        <f ca="1">IFERROR(__xludf.DUMMYFUNCTION("GOOGLETRANSLATE(B185, ""en"", ""fr"")"),"Gemme de vent")</f>
        <v>Gemme de vent</v>
      </c>
      <c r="D185" s="23" t="str">
        <f ca="1">IFERROR(__xludf.DUMMYFUNCTION("GOOGLETRANSLATE(B185, ""en"", ""es"")"),"Gema del viento")</f>
        <v>Gema del viento</v>
      </c>
      <c r="E185" s="23" t="str">
        <f ca="1">IFERROR(__xludf.DUMMYFUNCTION("GOOGLETRANSLATE(B185, ""en"", ""ru"")"),"Ветер драгоценный")</f>
        <v>Ветер драгоценный</v>
      </c>
      <c r="F185" s="23" t="str">
        <f ca="1">IFERROR(__xludf.DUMMYFUNCTION("GOOGLETRANSLATE(B185, ""en"", ""tr"")"),"Rüzgâr mücevher")</f>
        <v>Rüzgâr mücevher</v>
      </c>
      <c r="G185" s="23" t="str">
        <f ca="1">IFERROR(__xludf.DUMMYFUNCTION("GOOGLETRANSLATE(B185, ""en"", ""pt"")"),"Jóia eólica")</f>
        <v>Jóia eólica</v>
      </c>
      <c r="H185" s="24" t="str">
        <f ca="1">IFERROR(__xludf.DUMMYFUNCTION("GOOGLETRANSLATE(B185, ""en"", ""de"")"),"Windseih")</f>
        <v>Windseih</v>
      </c>
      <c r="I185" s="23" t="str">
        <f ca="1">IFERROR(__xludf.DUMMYFUNCTION("GOOGLETRANSLATE(B185, ""en"", ""pl"")"),"Wiatrowy klejnot")</f>
        <v>Wiatrowy klejnot</v>
      </c>
      <c r="J185" s="25" t="str">
        <f ca="1">IFERROR(__xludf.DUMMYFUNCTION("GOOGLETRANSLATE(B185, ""en"", ""zh"")"),"风宝石")</f>
        <v>风宝石</v>
      </c>
      <c r="K185" s="25" t="str">
        <f ca="1">IFERROR(__xludf.DUMMYFUNCTION("GOOGLETRANSLATE(B185, ""en"", ""vi"")"),"Gem Gem.")</f>
        <v>Gem Gem.</v>
      </c>
      <c r="L185" s="26" t="str">
        <f ca="1">IFERROR(__xludf.DUMMYFUNCTION("GOOGLETRANSLATE(B185, ""en"", ""hr"")"),"Vjetar")</f>
        <v>Vjetar</v>
      </c>
      <c r="M185" s="28"/>
      <c r="N185" s="28"/>
      <c r="O185" s="28"/>
      <c r="P185" s="28"/>
      <c r="Q185" s="28"/>
      <c r="R185" s="28"/>
      <c r="S185" s="28"/>
      <c r="T185" s="28"/>
      <c r="U185" s="28"/>
      <c r="V185" s="28"/>
      <c r="W185" s="28"/>
      <c r="X185" s="28"/>
      <c r="Y185" s="28"/>
      <c r="Z185" s="28"/>
      <c r="AA185" s="28"/>
      <c r="AB185" s="28"/>
    </row>
    <row r="186" spans="1:28" ht="56" x14ac:dyDescent="0.15">
      <c r="A186" s="21" t="s">
        <v>728</v>
      </c>
      <c r="B186" s="22" t="s">
        <v>729</v>
      </c>
      <c r="C186" s="23" t="str">
        <f ca="1">IFERROR(__xludf.DUMMYFUNCTION("GOOGLETRANSLATE(B186, ""en"", ""fr"")"),"Utilisé pour fabriquer des objets avec un effet de vent.")</f>
        <v>Utilisé pour fabriquer des objets avec un effet de vent.</v>
      </c>
      <c r="D186" s="23" t="str">
        <f ca="1">IFERROR(__xludf.DUMMYFUNCTION("GOOGLETRANSLATE(B186, ""en"", ""es"")"),"Se utiliza para crear artículos con un efecto eólico.")</f>
        <v>Se utiliza para crear artículos con un efecto eólico.</v>
      </c>
      <c r="E186" s="23" t="str">
        <f ca="1">IFERROR(__xludf.DUMMYFUNCTION("GOOGLETRANSLATE(B186, ""en"", ""ru"")"),"Используется для создания предметов с эффектом ветра.")</f>
        <v>Используется для создания предметов с эффектом ветра.</v>
      </c>
      <c r="F186" s="23" t="str">
        <f ca="1">IFERROR(__xludf.DUMMYFUNCTION("GOOGLETRANSLATE(B186, ""en"", ""tr"")"),"Rüzgar etkisi olan eşyaları zanaat etmek için kullanılır.")</f>
        <v>Rüzgar etkisi olan eşyaları zanaat etmek için kullanılır.</v>
      </c>
      <c r="G186" s="23" t="str">
        <f ca="1">IFERROR(__xludf.DUMMYFUNCTION("GOOGLETRANSLATE(B186, ""en"", ""pt"")"),"Usado para artesanais com efeito de vento.")</f>
        <v>Usado para artesanais com efeito de vento.</v>
      </c>
      <c r="H186" s="24" t="str">
        <f ca="1">IFERROR(__xludf.DUMMYFUNCTION("GOOGLETRANSLATE(B186, ""en"", ""de"")"),"Verwendet, um Gegenstände mit einem Wind-Effekt zu erzeugen.")</f>
        <v>Verwendet, um Gegenstände mit einem Wind-Effekt zu erzeugen.</v>
      </c>
      <c r="I186" s="23" t="str">
        <f ca="1">IFERROR(__xludf.DUMMYFUNCTION("GOOGLETRANSLATE(B186, ""en"", ""pl"")"),"Używany do rzemieślniczych przedmiotów z efektem wiatru.")</f>
        <v>Używany do rzemieślniczych przedmiotów z efektem wiatru.</v>
      </c>
      <c r="J186" s="25" t="str">
        <f ca="1">IFERROR(__xludf.DUMMYFUNCTION("GOOGLETRANSLATE(B186, ""en"", ""zh"")"),"用来用风效应制作物品。")</f>
        <v>用来用风效应制作物品。</v>
      </c>
      <c r="K186" s="25" t="str">
        <f ca="1">IFERROR(__xludf.DUMMYFUNCTION("GOOGLETRANSLATE(B186, ""en"", ""vi"")"),"Được sử dụng để thủ công các mặt hàng với một hiệu ứng gió.")</f>
        <v>Được sử dụng để thủ công các mặt hàng với một hiệu ứng gió.</v>
      </c>
      <c r="L186" s="26" t="str">
        <f ca="1">IFERROR(__xludf.DUMMYFUNCTION("GOOGLETRANSLATE(B186, ""en"", ""hr"")"),"Koristi se za obrt stavke s vjetrom.")</f>
        <v>Koristi se za obrt stavke s vjetrom.</v>
      </c>
      <c r="M186" s="28"/>
      <c r="N186" s="28"/>
      <c r="O186" s="28"/>
      <c r="P186" s="28"/>
      <c r="Q186" s="28"/>
      <c r="R186" s="28"/>
      <c r="S186" s="28"/>
      <c r="T186" s="28"/>
      <c r="U186" s="28"/>
      <c r="V186" s="28"/>
      <c r="W186" s="28"/>
      <c r="X186" s="28"/>
      <c r="Y186" s="28"/>
      <c r="Z186" s="28"/>
      <c r="AA186" s="28"/>
      <c r="AB186" s="28"/>
    </row>
    <row r="187" spans="1:28" ht="14" x14ac:dyDescent="0.15">
      <c r="A187" s="21" t="s">
        <v>730</v>
      </c>
      <c r="B187" s="22" t="s">
        <v>731</v>
      </c>
      <c r="C187" s="23" t="str">
        <f ca="1">IFERROR(__xludf.DUMMYFUNCTION("GOOGLETRANSLATE(B187, ""en"", ""fr"")"),"L'œil du cyclone")</f>
        <v>L'œil du cyclone</v>
      </c>
      <c r="D187" s="23" t="str">
        <f ca="1">IFERROR(__xludf.DUMMYFUNCTION("GOOGLETRANSLATE(B187, ""en"", ""es"")"),"Ojo de la tormenta")</f>
        <v>Ojo de la tormenta</v>
      </c>
      <c r="E187" s="23" t="str">
        <f ca="1">IFERROR(__xludf.DUMMYFUNCTION("GOOGLETRANSLATE(B187, ""en"", ""ru"")"),"Центр урагана")</f>
        <v>Центр урагана</v>
      </c>
      <c r="F187" s="23" t="str">
        <f ca="1">IFERROR(__xludf.DUMMYFUNCTION("GOOGLETRANSLATE(B187, ""en"", ""tr"")"),"Fırtınanın gözü")</f>
        <v>Fırtınanın gözü</v>
      </c>
      <c r="G187" s="23" t="str">
        <f ca="1">IFERROR(__xludf.DUMMYFUNCTION("GOOGLETRANSLATE(B187, ""en"", ""pt"")"),"Olho da tempestade")</f>
        <v>Olho da tempestade</v>
      </c>
      <c r="H187" s="24" t="str">
        <f ca="1">IFERROR(__xludf.DUMMYFUNCTION("GOOGLETRANSLATE(B187, ""en"", ""de"")"),"Das Auge des Sturms")</f>
        <v>Das Auge des Sturms</v>
      </c>
      <c r="I187" s="23" t="str">
        <f ca="1">IFERROR(__xludf.DUMMYFUNCTION("GOOGLETRANSLATE(B187, ""en"", ""pl"")"),"Oko cyklonu")</f>
        <v>Oko cyklonu</v>
      </c>
      <c r="J187" s="25" t="str">
        <f ca="1">IFERROR(__xludf.DUMMYFUNCTION("GOOGLETRANSLATE(B187, ""en"", ""zh"")"),"风暴之眼")</f>
        <v>风暴之眼</v>
      </c>
      <c r="K187" s="25" t="str">
        <f ca="1">IFERROR(__xludf.DUMMYFUNCTION("GOOGLETRANSLATE(B187, ""en"", ""vi"")"),"Mắt Bão")</f>
        <v>Mắt Bão</v>
      </c>
      <c r="L187" s="26" t="str">
        <f ca="1">IFERROR(__xludf.DUMMYFUNCTION("GOOGLETRANSLATE(B187, ""en"", ""hr"")"),"Oko oluje")</f>
        <v>Oko oluje</v>
      </c>
      <c r="M187" s="28"/>
      <c r="N187" s="28"/>
      <c r="O187" s="28"/>
      <c r="P187" s="28"/>
      <c r="Q187" s="28"/>
      <c r="R187" s="28"/>
      <c r="S187" s="28"/>
      <c r="T187" s="28"/>
      <c r="U187" s="28"/>
      <c r="V187" s="28"/>
      <c r="W187" s="28"/>
      <c r="X187" s="28"/>
      <c r="Y187" s="28"/>
      <c r="Z187" s="28"/>
      <c r="AA187" s="28"/>
      <c r="AB187" s="28"/>
    </row>
    <row r="188" spans="1:28" ht="56" x14ac:dyDescent="0.15">
      <c r="A188" s="21" t="s">
        <v>732</v>
      </c>
      <c r="B188" s="22" t="s">
        <v>733</v>
      </c>
      <c r="C188" s="23" t="str">
        <f ca="1">IFERROR(__xludf.DUMMYFUNCTION("GOOGLETRANSLATE(B188, ""en"", ""fr"")"),"La force d'un ouragan contenait dans un petit gemme.")</f>
        <v>La force d'un ouragan contenait dans un petit gemme.</v>
      </c>
      <c r="D188" s="23" t="str">
        <f ca="1">IFERROR(__xludf.DUMMYFUNCTION("GOOGLETRANSLATE(B188, ""en"", ""es"")"),"La fuerza de un huracán contenida dentro de una pequeña gema.")</f>
        <v>La fuerza de un huracán contenida dentro de una pequeña gema.</v>
      </c>
      <c r="E188" s="23" t="str">
        <f ca="1">IFERROR(__xludf.DUMMYFUNCTION("GOOGLETRANSLATE(B188, ""en"", ""ru"")"),"Сила урагана, содержащаяся в маленьком жеребене.")</f>
        <v>Сила урагана, содержащаяся в маленьком жеребене.</v>
      </c>
      <c r="F188" s="23" t="str">
        <f ca="1">IFERROR(__xludf.DUMMYFUNCTION("GOOGLETRANSLATE(B188, ""en"", ""tr"")"),"Küçük bir mücevher içinde bulunan bir kasırganın gücü.")</f>
        <v>Küçük bir mücevher içinde bulunan bir kasırganın gücü.</v>
      </c>
      <c r="G188" s="23" t="str">
        <f ca="1">IFERROR(__xludf.DUMMYFUNCTION("GOOGLETRANSLATE(B188, ""en"", ""pt"")"),"A força de um furacão contido dentro de uma pequena jóia.")</f>
        <v>A força de um furacão contido dentro de uma pequena jóia.</v>
      </c>
      <c r="H188" s="24" t="str">
        <f ca="1">IFERROR(__xludf.DUMMYFUNCTION("GOOGLETRANSLATE(B188, ""en"", ""de"")"),"Die Kraft eines Hurrikanes, der in einem kleinen Juwel enthalten ist.")</f>
        <v>Die Kraft eines Hurrikanes, der in einem kleinen Juwel enthalten ist.</v>
      </c>
      <c r="I188" s="23" t="str">
        <f ca="1">IFERROR(__xludf.DUMMYFUNCTION("GOOGLETRANSLATE(B188, ""en"", ""pl"")"),"Siła huraganu zawarta w małym klejnonie.")</f>
        <v>Siła huraganu zawarta w małym klejnonie.</v>
      </c>
      <c r="J188" s="25" t="str">
        <f ca="1">IFERROR(__xludf.DUMMYFUNCTION("GOOGLETRANSLATE(B188, ""en"", ""zh"")"),"飓风中含有小宝石的力量。")</f>
        <v>飓风中含有小宝石的力量。</v>
      </c>
      <c r="K188" s="25" t="str">
        <f ca="1">IFERROR(__xludf.DUMMYFUNCTION("GOOGLETRANSLATE(B188, ""en"", ""vi"")"),"Lực của một cơn bão chứa trong một viên đá quý nhỏ.")</f>
        <v>Lực của một cơn bão chứa trong một viên đá quý nhỏ.</v>
      </c>
      <c r="L188" s="26" t="str">
        <f ca="1">IFERROR(__xludf.DUMMYFUNCTION("GOOGLETRANSLATE(B188, ""en"", ""hr"")"),"Sila uragana sadržavala je unutar malog dragulja.")</f>
        <v>Sila uragana sadržavala je unutar malog dragulja.</v>
      </c>
      <c r="M188" s="28"/>
      <c r="N188" s="28"/>
      <c r="O188" s="28"/>
      <c r="P188" s="28"/>
      <c r="Q188" s="28"/>
      <c r="R188" s="28"/>
      <c r="S188" s="28"/>
      <c r="T188" s="28"/>
      <c r="U188" s="28"/>
      <c r="V188" s="28"/>
      <c r="W188" s="28"/>
      <c r="X188" s="28"/>
      <c r="Y188" s="28"/>
      <c r="Z188" s="28"/>
      <c r="AA188" s="28"/>
      <c r="AB188" s="28"/>
    </row>
    <row r="189" spans="1:28" ht="28" x14ac:dyDescent="0.15">
      <c r="A189" s="21" t="s">
        <v>734</v>
      </c>
      <c r="B189" s="22" t="s">
        <v>735</v>
      </c>
      <c r="C189" s="23" t="str">
        <f ca="1">IFERROR(__xludf.DUMMYFUNCTION("GOOGLETRANSLATE(B189, ""en"", ""fr"")"),"Gemme de sang")</f>
        <v>Gemme de sang</v>
      </c>
      <c r="D189" s="23" t="str">
        <f ca="1">IFERROR(__xludf.DUMMYFUNCTION("GOOGLETRANSLATE(B189, ""en"", ""es"")"),"Gema de sangre")</f>
        <v>Gema de sangre</v>
      </c>
      <c r="E189" s="23" t="str">
        <f ca="1">IFERROR(__xludf.DUMMYFUNCTION("GOOGLETRANSLATE(B189, ""en"", ""ru"")"),"Кровная драгоценность")</f>
        <v>Кровная драгоценность</v>
      </c>
      <c r="F189" s="23" t="str">
        <f ca="1">IFERROR(__xludf.DUMMYFUNCTION("GOOGLETRANSLATE(B189, ""en"", ""tr"")"),"Kan Gem")</f>
        <v>Kan Gem</v>
      </c>
      <c r="G189" s="23" t="str">
        <f ca="1">IFERROR(__xludf.DUMMYFUNCTION("GOOGLETRANSLATE(B189, ""en"", ""pt"")"),"Gema do Sangue")</f>
        <v>Gema do Sangue</v>
      </c>
      <c r="H189" s="24" t="str">
        <f ca="1">IFERROR(__xludf.DUMMYFUNCTION("GOOGLETRANSLATE(B189, ""en"", ""de"")"),"Blutsohle")</f>
        <v>Blutsohle</v>
      </c>
      <c r="I189" s="23" t="str">
        <f ca="1">IFERROR(__xludf.DUMMYFUNCTION("GOOGLETRANSLATE(B189, ""en"", ""pl"")"),"Klejnot krwi")</f>
        <v>Klejnot krwi</v>
      </c>
      <c r="J189" s="25" t="str">
        <f ca="1">IFERROR(__xludf.DUMMYFUNCTION("GOOGLETRANSLATE(B189, ""en"", ""zh"")"),"血宝石")</f>
        <v>血宝石</v>
      </c>
      <c r="K189" s="25" t="str">
        <f ca="1">IFERROR(__xludf.DUMMYFUNCTION("GOOGLETRANSLATE(B189, ""en"", ""vi"")"),"Đá quý máu")</f>
        <v>Đá quý máu</v>
      </c>
      <c r="L189" s="26" t="str">
        <f ca="1">IFERROR(__xludf.DUMMYFUNCTION("GOOGLETRANSLATE(B189, ""en"", ""hr"")"),"Krvni dragulj")</f>
        <v>Krvni dragulj</v>
      </c>
      <c r="M189" s="28"/>
      <c r="N189" s="28"/>
      <c r="O189" s="28"/>
      <c r="P189" s="28"/>
      <c r="Q189" s="28"/>
      <c r="R189" s="28"/>
      <c r="S189" s="28"/>
      <c r="T189" s="28"/>
      <c r="U189" s="28"/>
      <c r="V189" s="28"/>
      <c r="W189" s="28"/>
      <c r="X189" s="28"/>
      <c r="Y189" s="28"/>
      <c r="Z189" s="28"/>
      <c r="AA189" s="28"/>
      <c r="AB189" s="28"/>
    </row>
    <row r="190" spans="1:28" ht="56" x14ac:dyDescent="0.15">
      <c r="A190" s="21" t="s">
        <v>736</v>
      </c>
      <c r="B190" s="22" t="s">
        <v>737</v>
      </c>
      <c r="C190" s="23" t="str">
        <f ca="1">IFERROR(__xludf.DUMMYFUNCTION("GOOGLETRANSLATE(B190, ""en"", ""fr"")"),"Utilisé pour fabriquer des objets avec un effet de vie.")</f>
        <v>Utilisé pour fabriquer des objets avec un effet de vie.</v>
      </c>
      <c r="D190" s="23" t="str">
        <f ca="1">IFERROR(__xludf.DUMMYFUNCTION("GOOGLETRANSLATE(B190, ""en"", ""es"")"),"Se utiliza para crear artículos con un efecto de vida.")</f>
        <v>Se utiliza para crear artículos con un efecto de vida.</v>
      </c>
      <c r="E190" s="23" t="str">
        <f ca="1">IFERROR(__xludf.DUMMYFUNCTION("GOOGLETRANSLATE(B190, ""en"", ""ru"")"),"Используется для создания предметов с эффектом жизни.")</f>
        <v>Используется для создания предметов с эффектом жизни.</v>
      </c>
      <c r="F190" s="23" t="str">
        <f ca="1">IFERROR(__xludf.DUMMYFUNCTION("GOOGLETRANSLATE(B190, ""en"", ""tr"")"),"Bir yaşam etkisi olan eşyaları zanaat etmek için kullanılır.")</f>
        <v>Bir yaşam etkisi olan eşyaları zanaat etmek için kullanılır.</v>
      </c>
      <c r="G190" s="23" t="str">
        <f ca="1">IFERROR(__xludf.DUMMYFUNCTION("GOOGLETRANSLATE(B190, ""en"", ""pt"")"),"Usado para artesanais com efeito de vida.")</f>
        <v>Usado para artesanais com efeito de vida.</v>
      </c>
      <c r="H190" s="24" t="str">
        <f ca="1">IFERROR(__xludf.DUMMYFUNCTION("GOOGLETRANSLATE(B190, ""en"", ""de"")"),"Verwendet, um Gegenstände mit einem lebenslangen Effekt zu erzeugen.")</f>
        <v>Verwendet, um Gegenstände mit einem lebenslangen Effekt zu erzeugen.</v>
      </c>
      <c r="I190" s="23" t="str">
        <f ca="1">IFERROR(__xludf.DUMMYFUNCTION("GOOGLETRANSLATE(B190, ""en"", ""pl"")"),"Używany do rzemieślniczych przedmiotów z efektem życia.")</f>
        <v>Używany do rzemieślniczych przedmiotów z efektem życia.</v>
      </c>
      <c r="J190" s="25" t="str">
        <f ca="1">IFERROR(__xludf.DUMMYFUNCTION("GOOGLETRANSLATE(B190, ""en"", ""zh"")"),"用来用生活效应来制作物品。")</f>
        <v>用来用生活效应来制作物品。</v>
      </c>
      <c r="K190" s="25" t="str">
        <f ca="1">IFERROR(__xludf.DUMMYFUNCTION("GOOGLETRANSLATE(B190, ""en"", ""vi"")"),"Được sử dụng để thủ công các mặt hàng với một hiệu ứng sống.")</f>
        <v>Được sử dụng để thủ công các mặt hàng với một hiệu ứng sống.</v>
      </c>
      <c r="L190" s="26" t="str">
        <f ca="1">IFERROR(__xludf.DUMMYFUNCTION("GOOGLETRANSLATE(B190, ""en"", ""hr"")"),"Koristi se za obrt stavke s načinom života.")</f>
        <v>Koristi se za obrt stavke s načinom života.</v>
      </c>
      <c r="M190" s="28"/>
      <c r="N190" s="28"/>
      <c r="O190" s="28"/>
      <c r="P190" s="28"/>
      <c r="Q190" s="28"/>
      <c r="R190" s="28"/>
      <c r="S190" s="28"/>
      <c r="T190" s="28"/>
      <c r="U190" s="28"/>
      <c r="V190" s="28"/>
      <c r="W190" s="28"/>
      <c r="X190" s="28"/>
      <c r="Y190" s="28"/>
      <c r="Z190" s="28"/>
      <c r="AA190" s="28"/>
      <c r="AB190" s="28"/>
    </row>
    <row r="191" spans="1:28" ht="28" x14ac:dyDescent="0.15">
      <c r="A191" s="21" t="s">
        <v>738</v>
      </c>
      <c r="B191" s="22" t="s">
        <v>739</v>
      </c>
      <c r="C191" s="23" t="str">
        <f ca="1">IFERROR(__xludf.DUMMYFUNCTION("GOOGLETRANSLATE(B191, ""en"", ""fr"")"),"Coeur de la montagne")</f>
        <v>Coeur de la montagne</v>
      </c>
      <c r="D191" s="23" t="str">
        <f ca="1">IFERROR(__xludf.DUMMYFUNCTION("GOOGLETRANSLATE(B191, ""en"", ""es"")"),"Corazón de la montaña")</f>
        <v>Corazón de la montaña</v>
      </c>
      <c r="E191" s="23" t="str">
        <f ca="1">IFERROR(__xludf.DUMMYFUNCTION("GOOGLETRANSLATE(B191, ""en"", ""ru"")"),"Сердце горы")</f>
        <v>Сердце горы</v>
      </c>
      <c r="F191" s="23" t="str">
        <f ca="1">IFERROR(__xludf.DUMMYFUNCTION("GOOGLETRANSLATE(B191, ""en"", ""tr"")"),"Dağın kalbi")</f>
        <v>Dağın kalbi</v>
      </c>
      <c r="G191" s="23" t="str">
        <f ca="1">IFERROR(__xludf.DUMMYFUNCTION("GOOGLETRANSLATE(B191, ""en"", ""pt"")"),"Coração da montanha")</f>
        <v>Coração da montanha</v>
      </c>
      <c r="H191" s="24" t="str">
        <f ca="1">IFERROR(__xludf.DUMMYFUNCTION("GOOGLETRANSLATE(B191, ""en"", ""de"")"),"Herz des Berges")</f>
        <v>Herz des Berges</v>
      </c>
      <c r="I191" s="23" t="str">
        <f ca="1">IFERROR(__xludf.DUMMYFUNCTION("GOOGLETRANSLATE(B191, ""en"", ""pl"")"),"Serce góry")</f>
        <v>Serce góry</v>
      </c>
      <c r="J191" s="25" t="str">
        <f ca="1">IFERROR(__xludf.DUMMYFUNCTION("GOOGLETRANSLATE(B191, ""en"", ""zh"")"),"mountain")</f>
        <v>mountain</v>
      </c>
      <c r="K191" s="25" t="str">
        <f ca="1">IFERROR(__xludf.DUMMYFUNCTION("GOOGLETRANSLATE(B191, ""en"", ""vi"")"),"Trái tim của ngọn núi")</f>
        <v>Trái tim của ngọn núi</v>
      </c>
      <c r="L191" s="26" t="str">
        <f ca="1">IFERROR(__xludf.DUMMYFUNCTION("GOOGLETRANSLATE(B191, ""en"", ""hr"")"),"Srce planine")</f>
        <v>Srce planine</v>
      </c>
      <c r="M191" s="28"/>
      <c r="N191" s="28"/>
      <c r="O191" s="28"/>
      <c r="P191" s="28"/>
      <c r="Q191" s="28"/>
      <c r="R191" s="28"/>
      <c r="S191" s="28"/>
      <c r="T191" s="28"/>
      <c r="U191" s="28"/>
      <c r="V191" s="28"/>
      <c r="W191" s="28"/>
      <c r="X191" s="28"/>
      <c r="Y191" s="28"/>
      <c r="Z191" s="28"/>
      <c r="AA191" s="28"/>
      <c r="AB191" s="28"/>
    </row>
    <row r="192" spans="1:28" ht="84" x14ac:dyDescent="0.15">
      <c r="A192" s="21" t="s">
        <v>740</v>
      </c>
      <c r="B192" s="22" t="s">
        <v>741</v>
      </c>
      <c r="C192" s="23" t="str">
        <f ca="1">IFERROR(__xludf.DUMMYFUNCTION("GOOGLETRANSLATE(B192, ""en"", ""fr"")"),"Une anomalie géologique qui soulève un terrain au-dessus, créant des montagnes artificielles.")</f>
        <v>Une anomalie géologique qui soulève un terrain au-dessus, créant des montagnes artificielles.</v>
      </c>
      <c r="D192" s="23" t="str">
        <f ca="1">IFERROR(__xludf.DUMMYFUNCTION("GOOGLETRANSLATE(B192, ""en"", ""es"")"),"Una anomalía geológica que eleva cualquier suelo por encima de él, creando montañas artificiales.")</f>
        <v>Una anomalía geológica que eleva cualquier suelo por encima de él, creando montañas artificiales.</v>
      </c>
      <c r="E192" s="23" t="str">
        <f ca="1">IFERROR(__xludf.DUMMYFUNCTION("GOOGLETRANSLATE(B192,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92" s="23" t="str">
        <f ca="1">IFERROR(__xludf.DUMMYFUNCTION("GOOGLETRANSLATE(B192, ""en"", ""tr"")"),"Yukarıda herhangi bir zemin yaratan jeolojik bir anomali, yapay dağlar yaratır.")</f>
        <v>Yukarıda herhangi bir zemin yaratan jeolojik bir anomali, yapay dağlar yaratır.</v>
      </c>
      <c r="G192" s="23" t="str">
        <f ca="1">IFERROR(__xludf.DUMMYFUNCTION("GOOGLETRANSLATE(B192, ""en"", ""pt"")"),"Uma anomalia geológica que levanta qualquer terra acima, criando montanhas artificiais.")</f>
        <v>Uma anomalia geológica que levanta qualquer terra acima, criando montanhas artificiais.</v>
      </c>
      <c r="H192" s="24" t="str">
        <f ca="1">IFERROR(__xludf.DUMMYFUNCTION("GOOGLETRANSLATE(B192, ""en"", ""de"")"),"Eine geologische Anomalie, die jeden Boden darüber erhöht, künstliche Berge erzeugt.")</f>
        <v>Eine geologische Anomalie, die jeden Boden darüber erhöht, künstliche Berge erzeugt.</v>
      </c>
      <c r="I192" s="23" t="str">
        <f ca="1">IFERROR(__xludf.DUMMYFUNCTION("GOOGLETRANSLATE(B192, ""en"", ""pl"")"),"Anomalia geologiczna, która podnosi jakąkolwiek ziemię, tworząc sztuczne góry.")</f>
        <v>Anomalia geologiczna, która podnosi jakąkolwiek ziemię, tworząc sztuczne góry.</v>
      </c>
      <c r="J192" s="25" t="str">
        <f ca="1">IFERROR(__xludf.DUMMYFUNCTION("GOOGLETRANSLATE(B192, ""en"", ""zh"")"),"一个地质异常，在它上面提出任何地面，创造人造山脉。")</f>
        <v>一个地质异常，在它上面提出任何地面，创造人造山脉。</v>
      </c>
      <c r="K192" s="25" t="str">
        <f ca="1">IFERROR(__xludf.DUMMYFUNCTION("GOOGLETRANSLATE(B192, ""en"", ""vi"")"),"Một dị thường địa chất tăng bất kỳ mặt đất nào trên nó, tạo ra những ngọn núi nhân tạo.")</f>
        <v>Một dị thường địa chất tăng bất kỳ mặt đất nào trên nó, tạo ra những ngọn núi nhân tạo.</v>
      </c>
      <c r="L192" s="26" t="str">
        <f ca="1">IFERROR(__xludf.DUMMYFUNCTION("GOOGLETRANSLATE(B192, ""en"", ""hr"")"),"Geološka anomalija koja podiže bilo koju zemlju iznad njega, stvarajući umjetne planine.")</f>
        <v>Geološka anomalija koja podiže bilo koju zemlju iznad njega, stvarajući umjetne planine.</v>
      </c>
      <c r="M192" s="28"/>
      <c r="N192" s="28"/>
      <c r="O192" s="28"/>
      <c r="P192" s="28"/>
      <c r="Q192" s="28"/>
      <c r="R192" s="28"/>
      <c r="S192" s="28"/>
      <c r="T192" s="28"/>
      <c r="U192" s="28"/>
      <c r="V192" s="28"/>
      <c r="W192" s="28"/>
      <c r="X192" s="28"/>
      <c r="Y192" s="28"/>
      <c r="Z192" s="28"/>
      <c r="AA192" s="28"/>
      <c r="AB192" s="28"/>
    </row>
    <row r="193" spans="1:28" ht="14" x14ac:dyDescent="0.15">
      <c r="A193" s="21" t="s">
        <v>742</v>
      </c>
      <c r="B193" s="22" t="s">
        <v>743</v>
      </c>
      <c r="C193" s="23" t="str">
        <f ca="1">IFERROR(__xludf.DUMMYFUNCTION("GOOGLETRANSLATE(B193, ""en"", ""fr"")"),"Personnel d'incendie")</f>
        <v>Personnel d'incendie</v>
      </c>
      <c r="D193" s="23" t="str">
        <f ca="1">IFERROR(__xludf.DUMMYFUNCTION("GOOGLETRANSLATE(B193, ""en"", ""es"")"),"Personal de bomberos")</f>
        <v>Personal de bomberos</v>
      </c>
      <c r="E193" s="23" t="str">
        <f ca="1">IFERROR(__xludf.DUMMYFUNCTION("GOOGLETRANSLATE(B193, ""en"", ""ru"")"),"Пожарный персонал")</f>
        <v>Пожарный персонал</v>
      </c>
      <c r="F193" s="23" t="str">
        <f ca="1">IFERROR(__xludf.DUMMYFUNCTION("GOOGLETRANSLATE(B193, ""en"", ""tr"")"),"İtfaiyeci")</f>
        <v>İtfaiyeci</v>
      </c>
      <c r="G193" s="23" t="str">
        <f ca="1">IFERROR(__xludf.DUMMYFUNCTION("GOOGLETRANSLATE(B193, ""en"", ""pt"")"),"Equipe de fogo")</f>
        <v>Equipe de fogo</v>
      </c>
      <c r="H193" s="24" t="str">
        <f ca="1">IFERROR(__xludf.DUMMYFUNCTION("GOOGLETRANSLATE(B193, ""en"", ""de"")"),"Feuerpersonal")</f>
        <v>Feuerpersonal</v>
      </c>
      <c r="I193" s="23" t="str">
        <f ca="1">IFERROR(__xludf.DUMMYFUNCTION("GOOGLETRANSLATE(B193, ""en"", ""pl"")"),"Personel pożarowy")</f>
        <v>Personel pożarowy</v>
      </c>
      <c r="J193" s="25" t="str">
        <f ca="1">IFERROR(__xludf.DUMMYFUNCTION("GOOGLETRANSLATE(B193, ""en"", ""zh"")"),"消防人员")</f>
        <v>消防人员</v>
      </c>
      <c r="K193" s="25" t="str">
        <f ca="1">IFERROR(__xludf.DUMMYFUNCTION("GOOGLETRANSLATE(B193, ""en"", ""vi"")"),"Nhân viên cứu hỏa")</f>
        <v>Nhân viên cứu hỏa</v>
      </c>
      <c r="L193" s="26" t="str">
        <f ca="1">IFERROR(__xludf.DUMMYFUNCTION("GOOGLETRANSLATE(B193, ""en"", ""hr"")"),"Požar")</f>
        <v>Požar</v>
      </c>
      <c r="M193" s="28"/>
      <c r="N193" s="28"/>
      <c r="O193" s="28"/>
      <c r="P193" s="28"/>
      <c r="Q193" s="28"/>
      <c r="R193" s="28"/>
      <c r="S193" s="28"/>
      <c r="T193" s="28"/>
      <c r="U193" s="28"/>
      <c r="V193" s="28"/>
      <c r="W193" s="28"/>
      <c r="X193" s="28"/>
      <c r="Y193" s="28"/>
      <c r="Z193" s="28"/>
      <c r="AA193" s="28"/>
      <c r="AB193" s="28"/>
    </row>
    <row r="194" spans="1:28" ht="42" x14ac:dyDescent="0.15">
      <c r="A194" s="21" t="s">
        <v>744</v>
      </c>
      <c r="B194" s="22" t="s">
        <v>745</v>
      </c>
      <c r="C194" s="23" t="str">
        <f ca="1">IFERROR(__xludf.DUMMYFUNCTION("GOOGLETRANSLATE(B194, ""en"", ""fr"")"),"Tire le feu qui inflige des dégâts.")</f>
        <v>Tire le feu qui inflige des dégâts.</v>
      </c>
      <c r="D194" s="23" t="str">
        <f ca="1">IFERROR(__xludf.DUMMYFUNCTION("GOOGLETRANSLATE(B194, ""en"", ""es"")"),"Dispara fuego que inflige daño.")</f>
        <v>Dispara fuego que inflige daño.</v>
      </c>
      <c r="E194" s="23" t="str">
        <f ca="1">IFERROR(__xludf.DUMMYFUNCTION("GOOGLETRANSLATE(B194, ""en"", ""ru"")"),"Стрелявает огонь, который наносит урон.")</f>
        <v>Стрелявает огонь, который наносит урон.</v>
      </c>
      <c r="F194" s="23" t="str">
        <f ca="1">IFERROR(__xludf.DUMMYFUNCTION("GOOGLETRANSLATE(B194, ""en"", ""tr"")"),"Hasar veren ateşi ateş eder.")</f>
        <v>Hasar veren ateşi ateş eder.</v>
      </c>
      <c r="G194" s="23" t="str">
        <f ca="1">IFERROR(__xludf.DUMMYFUNCTION("GOOGLETRANSLATE(B194, ""en"", ""pt"")"),"Atira fogo que causa dano.")</f>
        <v>Atira fogo que causa dano.</v>
      </c>
      <c r="H194" s="24" t="str">
        <f ca="1">IFERROR(__xludf.DUMMYFUNCTION("GOOGLETRANSLATE(B194, ""en"", ""de"")"),"Schießt Feuer, die Schaden zufügen.")</f>
        <v>Schießt Feuer, die Schaden zufügen.</v>
      </c>
      <c r="I194" s="23" t="str">
        <f ca="1">IFERROR(__xludf.DUMMYFUNCTION("GOOGLETRANSLATE(B194, ""en"", ""pl"")"),"Strzela ogień, który dotyczy obrażeń.")</f>
        <v>Strzela ogień, który dotyczy obrażeń.</v>
      </c>
      <c r="J194" s="25" t="str">
        <f ca="1">IFERROR(__xludf.DUMMYFUNCTION("GOOGLETRANSLATE(B194, ""en"", ""zh"")"),"射击造成伤害的火灾。")</f>
        <v>射击造成伤害的火灾。</v>
      </c>
      <c r="K194" s="25" t="str">
        <f ca="1">IFERROR(__xludf.DUMMYFUNCTION("GOOGLETRANSLATE(B194, ""en"", ""vi"")"),"Bắn lửa gây sát thương.")</f>
        <v>Bắn lửa gây sát thương.</v>
      </c>
      <c r="L194" s="26" t="str">
        <f ca="1">IFERROR(__xludf.DUMMYFUNCTION("GOOGLETRANSLATE(B194, ""en"", ""hr"")"),"Pucaj vatra koja se bavi štetom.")</f>
        <v>Pucaj vatra koja se bavi štetom.</v>
      </c>
      <c r="M194" s="28"/>
      <c r="N194" s="28"/>
      <c r="O194" s="28"/>
      <c r="P194" s="28"/>
      <c r="Q194" s="28"/>
      <c r="R194" s="28"/>
      <c r="S194" s="28"/>
      <c r="T194" s="28"/>
      <c r="U194" s="28"/>
      <c r="V194" s="28"/>
      <c r="W194" s="28"/>
      <c r="X194" s="28"/>
      <c r="Y194" s="28"/>
      <c r="Z194" s="28"/>
      <c r="AA194" s="28"/>
      <c r="AB194" s="28"/>
    </row>
    <row r="195" spans="1:28" ht="28" x14ac:dyDescent="0.15">
      <c r="A195" s="21" t="s">
        <v>746</v>
      </c>
      <c r="B195" s="22" t="s">
        <v>747</v>
      </c>
      <c r="C195" s="23" t="str">
        <f ca="1">IFERROR(__xludf.DUMMYFUNCTION("GOOGLETRANSLATE(B195, ""en"", ""fr"")"),"Personnel Super Fire")</f>
        <v>Personnel Super Fire</v>
      </c>
      <c r="D195" s="23" t="str">
        <f ca="1">IFERROR(__xludf.DUMMYFUNCTION("GOOGLETRANSLATE(B195, ""en"", ""es"")"),"Personal de Super Fire")</f>
        <v>Personal de Super Fire</v>
      </c>
      <c r="E195" s="23" t="str">
        <f ca="1">IFERROR(__xludf.DUMMYFUNCTION("GOOGLETRANSLATE(B195, ""en"", ""ru"")"),"Супер пожарный персонал")</f>
        <v>Супер пожарный персонал</v>
      </c>
      <c r="F195" s="23" t="str">
        <f ca="1">IFERROR(__xludf.DUMMYFUNCTION("GOOGLETRANSLATE(B195, ""en"", ""tr"")"),"Süper ateş personeli")</f>
        <v>Süper ateş personeli</v>
      </c>
      <c r="G195" s="23" t="str">
        <f ca="1">IFERROR(__xludf.DUMMYFUNCTION("GOOGLETRANSLATE(B195, ""en"", ""pt"")"),"Super Fire Staff.")</f>
        <v>Super Fire Staff.</v>
      </c>
      <c r="H195" s="24" t="str">
        <f ca="1">IFERROR(__xludf.DUMMYFUNCTION("GOOGLETRANSLATE(B195, ""en"", ""de"")"),"Superfeuerpersonal")</f>
        <v>Superfeuerpersonal</v>
      </c>
      <c r="I195" s="23" t="str">
        <f ca="1">IFERROR(__xludf.DUMMYFUNCTION("GOOGLETRANSLATE(B195, ""en"", ""pl"")"),"Super Fire Staff.")</f>
        <v>Super Fire Staff.</v>
      </c>
      <c r="J195" s="25" t="str">
        <f ca="1">IFERROR(__xludf.DUMMYFUNCTION("GOOGLETRANSLATE(B195, ""en"", ""zh"")"),"超级火人员")</f>
        <v>超级火人员</v>
      </c>
      <c r="K195" s="25" t="str">
        <f ca="1">IFERROR(__xludf.DUMMYFUNCTION("GOOGLETRANSLATE(B195, ""en"", ""vi"")"),"Nhân viên siêu cháy")</f>
        <v>Nhân viên siêu cháy</v>
      </c>
      <c r="L195" s="26" t="str">
        <f ca="1">IFERROR(__xludf.DUMMYFUNCTION("GOOGLETRANSLATE(B195, ""en"", ""hr"")"),"Super vatrogasno osoblje")</f>
        <v>Super vatrogasno osoblje</v>
      </c>
      <c r="M195" s="28"/>
      <c r="N195" s="28"/>
      <c r="O195" s="28"/>
      <c r="P195" s="28"/>
      <c r="Q195" s="28"/>
      <c r="R195" s="28"/>
      <c r="S195" s="28"/>
      <c r="T195" s="28"/>
      <c r="U195" s="28"/>
      <c r="V195" s="28"/>
      <c r="W195" s="28"/>
      <c r="X195" s="28"/>
      <c r="Y195" s="28"/>
      <c r="Z195" s="28"/>
      <c r="AA195" s="28"/>
      <c r="AB195" s="28"/>
    </row>
    <row r="196" spans="1:28" ht="42" x14ac:dyDescent="0.15">
      <c r="A196" s="21" t="s">
        <v>748</v>
      </c>
      <c r="B196" s="22" t="s">
        <v>749</v>
      </c>
      <c r="C196" s="23" t="str">
        <f ca="1">IFERROR(__xludf.DUMMYFUNCTION("GOOGLETRANSLATE(B196, ""en"", ""fr"")"),"Tire le feu qui tire plus de feu.")</f>
        <v>Tire le feu qui tire plus de feu.</v>
      </c>
      <c r="D196" s="23" t="str">
        <f ca="1">IFERROR(__xludf.DUMMYFUNCTION("GOOGLETRANSLATE(B196, ""en"", ""es"")"),"Dispara al fuego que dispara más fuego.")</f>
        <v>Dispara al fuego que dispara más fuego.</v>
      </c>
      <c r="E196" s="23" t="str">
        <f ca="1">IFERROR(__xludf.DUMMYFUNCTION("GOOGLETRANSLATE(B196, ""en"", ""ru"")"),"Стреляет огонь, который стреляет больше огня.")</f>
        <v>Стреляет огонь, который стреляет больше огня.</v>
      </c>
      <c r="F196" s="23" t="str">
        <f ca="1">IFERROR(__xludf.DUMMYFUNCTION("GOOGLETRANSLATE(B196, ""en"", ""tr"")"),"Daha fazla ateş çeken ateşi vurur.")</f>
        <v>Daha fazla ateş çeken ateşi vurur.</v>
      </c>
      <c r="G196" s="23" t="str">
        <f ca="1">IFERROR(__xludf.DUMMYFUNCTION("GOOGLETRANSLATE(B196, ""en"", ""pt"")"),"Atira fogo que atira mais fogo.")</f>
        <v>Atira fogo que atira mais fogo.</v>
      </c>
      <c r="H196" s="24" t="str">
        <f ca="1">IFERROR(__xludf.DUMMYFUNCTION("GOOGLETRANSLATE(B196, ""en"", ""de"")"),"Schießt Feuer, das mehr Feuer erschießt.")</f>
        <v>Schießt Feuer, das mehr Feuer erschießt.</v>
      </c>
      <c r="I196" s="23" t="str">
        <f ca="1">IFERROR(__xludf.DUMMYFUNCTION("GOOGLETRANSLATE(B196, ""en"", ""pl"")"),"Strzela ogień, który strzela więcej ognia.")</f>
        <v>Strzela ogień, który strzela więcej ognia.</v>
      </c>
      <c r="J196" s="25" t="str">
        <f ca="1">IFERROR(__xludf.DUMMYFUNCTION("GOOGLETRANSLATE(B196, ""en"", ""zh"")"),"射击射击更多火灾。")</f>
        <v>射击射击更多火灾。</v>
      </c>
      <c r="K196" s="25" t="str">
        <f ca="1">IFERROR(__xludf.DUMMYFUNCTION("GOOGLETRANSLATE(B196, ""en"", ""vi"")"),"Bắn lửa mà bắn súng nhiều hơn.")</f>
        <v>Bắn lửa mà bắn súng nhiều hơn.</v>
      </c>
      <c r="L196" s="26" t="str">
        <f ca="1">IFERROR(__xludf.DUMMYFUNCTION("GOOGLETRANSLATE(B196, ""en"", ""hr"")"),"Pucaj vatru koja puca više požara.")</f>
        <v>Pucaj vatru koja puca više požara.</v>
      </c>
      <c r="M196" s="28"/>
      <c r="N196" s="28"/>
      <c r="O196" s="28"/>
      <c r="P196" s="28"/>
      <c r="Q196" s="28"/>
      <c r="R196" s="28"/>
      <c r="S196" s="28"/>
      <c r="T196" s="28"/>
      <c r="U196" s="28"/>
      <c r="V196" s="28"/>
      <c r="W196" s="28"/>
      <c r="X196" s="28"/>
      <c r="Y196" s="28"/>
      <c r="Z196" s="28"/>
      <c r="AA196" s="28"/>
      <c r="AB196" s="28"/>
    </row>
    <row r="197" spans="1:28" ht="14" x14ac:dyDescent="0.15">
      <c r="A197" s="21" t="s">
        <v>750</v>
      </c>
      <c r="B197" s="22" t="s">
        <v>751</v>
      </c>
      <c r="C197" s="23" t="str">
        <f ca="1">IFERROR(__xludf.DUMMYFUNCTION("GOOGLETRANSLATE(B197, ""en"", ""fr"")"),"Personnel éolien")</f>
        <v>Personnel éolien</v>
      </c>
      <c r="D197" s="23" t="str">
        <f ca="1">IFERROR(__xludf.DUMMYFUNCTION("GOOGLETRANSLATE(B197, ""en"", ""es"")"),"Estado de viento")</f>
        <v>Estado de viento</v>
      </c>
      <c r="E197" s="23" t="str">
        <f ca="1">IFERROR(__xludf.DUMMYFUNCTION("GOOGLETRANSLATE(B197, ""en"", ""ru"")"),"Ветер персонал")</f>
        <v>Ветер персонал</v>
      </c>
      <c r="F197" s="23" t="str">
        <f ca="1">IFERROR(__xludf.DUMMYFUNCTION("GOOGLETRANSLATE(B197, ""en"", ""tr"")"),"Rüzgar personeli")</f>
        <v>Rüzgar personeli</v>
      </c>
      <c r="G197" s="23" t="str">
        <f ca="1">IFERROR(__xludf.DUMMYFUNCTION("GOOGLETRANSLATE(B197, ""en"", ""pt"")"),"Equipe de vento")</f>
        <v>Equipe de vento</v>
      </c>
      <c r="H197" s="24" t="str">
        <f ca="1">IFERROR(__xludf.DUMMYFUNCTION("GOOGLETRANSLATE(B197, ""en"", ""de"")"),"Windpersonal")</f>
        <v>Windpersonal</v>
      </c>
      <c r="I197" s="23" t="str">
        <f ca="1">IFERROR(__xludf.DUMMYFUNCTION("GOOGLETRANSLATE(B197, ""en"", ""pl"")"),"Personel wiatru.")</f>
        <v>Personel wiatru.</v>
      </c>
      <c r="J197" s="25" t="str">
        <f ca="1">IFERROR(__xludf.DUMMYFUNCTION("GOOGLETRANSLATE(B197, ""en"", ""zh"")"),"风员工")</f>
        <v>风员工</v>
      </c>
      <c r="K197" s="25" t="str">
        <f ca="1">IFERROR(__xludf.DUMMYFUNCTION("GOOGLETRANSLATE(B197, ""en"", ""vi"")"),"Nhân viên gió")</f>
        <v>Nhân viên gió</v>
      </c>
      <c r="L197" s="26" t="str">
        <f ca="1">IFERROR(__xludf.DUMMYFUNCTION("GOOGLETRANSLATE(B197, ""en"", ""hr"")"),"Vjetropodžnjak")</f>
        <v>Vjetropodžnjak</v>
      </c>
      <c r="M197" s="28"/>
      <c r="N197" s="28"/>
      <c r="O197" s="28"/>
      <c r="P197" s="28"/>
      <c r="Q197" s="28"/>
      <c r="R197" s="28"/>
      <c r="S197" s="28"/>
      <c r="T197" s="28"/>
      <c r="U197" s="28"/>
      <c r="V197" s="28"/>
      <c r="W197" s="28"/>
      <c r="X197" s="28"/>
      <c r="Y197" s="28"/>
      <c r="Z197" s="28"/>
      <c r="AA197" s="28"/>
      <c r="AB197" s="28"/>
    </row>
    <row r="198" spans="1:28" ht="42" x14ac:dyDescent="0.15">
      <c r="A198" s="21" t="s">
        <v>752</v>
      </c>
      <c r="B198" s="22" t="s">
        <v>753</v>
      </c>
      <c r="C198" s="23" t="str">
        <f ca="1">IFERROR(__xludf.DUMMYFUNCTION("GOOGLETRANSLATE(B198, ""en"", ""fr"")"),"Tire le vent qui frappe les choses.")</f>
        <v>Tire le vent qui frappe les choses.</v>
      </c>
      <c r="D198" s="23" t="str">
        <f ca="1">IFERROR(__xludf.DUMMYFUNCTION("GOOGLETRANSLATE(B198, ""en"", ""es"")"),"Dispara el viento que golpea las cosas.")</f>
        <v>Dispara el viento que golpea las cosas.</v>
      </c>
      <c r="E198" s="23" t="str">
        <f ca="1">IFERROR(__xludf.DUMMYFUNCTION("GOOGLETRANSLATE(B198, ""en"", ""ru"")"),"Стреляет ветер, который сбивает вещи обратно.")</f>
        <v>Стреляет ветер, который сбивает вещи обратно.</v>
      </c>
      <c r="F198" s="23" t="str">
        <f ca="1">IFERROR(__xludf.DUMMYFUNCTION("GOOGLETRANSLATE(B198, ""en"", ""tr"")"),"İşleri geri çeken rüzgarı vurur.")</f>
        <v>İşleri geri çeken rüzgarı vurur.</v>
      </c>
      <c r="G198" s="23" t="str">
        <f ca="1">IFERROR(__xludf.DUMMYFUNCTION("GOOGLETRANSLATE(B198, ""en"", ""pt"")"),"Atira o vento que bate as coisas de volta.")</f>
        <v>Atira o vento que bate as coisas de volta.</v>
      </c>
      <c r="H198" s="24" t="str">
        <f ca="1">IFERROR(__xludf.DUMMYFUNCTION("GOOGLETRANSLATE(B198, ""en"", ""de"")"),"Schießt Wind, der die Dinge zurückschlagen.")</f>
        <v>Schießt Wind, der die Dinge zurückschlagen.</v>
      </c>
      <c r="I198" s="23" t="str">
        <f ca="1">IFERROR(__xludf.DUMMYFUNCTION("GOOGLETRANSLATE(B198, ""en"", ""pl"")"),"Strzela wiatr, który puka rzeczy z powrotem.")</f>
        <v>Strzela wiatr, który puka rzeczy z powrotem.</v>
      </c>
      <c r="J198" s="25" t="str">
        <f ca="1">IFERROR(__xludf.DUMMYFUNCTION("GOOGLETRANSLATE(B198, ""en"", ""zh"")"),"射击击倒东西的风。")</f>
        <v>射击击倒东西的风。</v>
      </c>
      <c r="K198" s="25" t="str">
        <f ca="1">IFERROR(__xludf.DUMMYFUNCTION("GOOGLETRANSLATE(B198, ""en"", ""vi"")"),"Bắn gió đánh bật mọi thứ trở lại.")</f>
        <v>Bắn gió đánh bật mọi thứ trở lại.</v>
      </c>
      <c r="L198" s="26" t="str">
        <f ca="1">IFERROR(__xludf.DUMMYFUNCTION("GOOGLETRANSLATE(B198, ""en"", ""hr"")"),"Pucaj vjetar koji kuca stvari natrag.")</f>
        <v>Pucaj vjetar koji kuca stvari natrag.</v>
      </c>
      <c r="M198" s="28"/>
      <c r="N198" s="28"/>
      <c r="O198" s="28"/>
      <c r="P198" s="28"/>
      <c r="Q198" s="28"/>
      <c r="R198" s="28"/>
      <c r="S198" s="28"/>
      <c r="T198" s="28"/>
      <c r="U198" s="28"/>
      <c r="V198" s="28"/>
      <c r="W198" s="28"/>
      <c r="X198" s="28"/>
      <c r="Y198" s="28"/>
      <c r="Z198" s="28"/>
      <c r="AA198" s="28"/>
      <c r="AB198" s="28"/>
    </row>
    <row r="199" spans="1:28" ht="28" x14ac:dyDescent="0.15">
      <c r="A199" s="21" t="s">
        <v>754</v>
      </c>
      <c r="B199" s="22" t="s">
        <v>755</v>
      </c>
      <c r="C199" s="23" t="str">
        <f ca="1">IFERROR(__xludf.DUMMYFUNCTION("GOOGLETRANSLATE(B199, ""en"", ""fr"")"),"Personnel Super Wind")</f>
        <v>Personnel Super Wind</v>
      </c>
      <c r="D199" s="23" t="str">
        <f ca="1">IFERROR(__xludf.DUMMYFUNCTION("GOOGLETRANSLATE(B199, ""en"", ""es"")"),"Súper personal")</f>
        <v>Súper personal</v>
      </c>
      <c r="E199" s="23" t="str">
        <f ca="1">IFERROR(__xludf.DUMMYFUNCTION("GOOGLETRANSLATE(B199, ""en"", ""ru"")"),"Супер ветер персонал")</f>
        <v>Супер ветер персонал</v>
      </c>
      <c r="F199" s="23" t="str">
        <f ca="1">IFERROR(__xludf.DUMMYFUNCTION("GOOGLETRANSLATE(B199, ""en"", ""tr"")"),"Süper rüzgar personeli")</f>
        <v>Süper rüzgar personeli</v>
      </c>
      <c r="G199" s="23" t="str">
        <f ca="1">IFERROR(__xludf.DUMMYFUNCTION("GOOGLETRANSLATE(B199, ""en"", ""pt"")"),"Super Wind Staff.")</f>
        <v>Super Wind Staff.</v>
      </c>
      <c r="H199" s="24" t="str">
        <f ca="1">IFERROR(__xludf.DUMMYFUNCTION("GOOGLETRANSLATE(B199, ""en"", ""de"")"),"Super Windpersonal.")</f>
        <v>Super Windpersonal.</v>
      </c>
      <c r="I199" s="23" t="str">
        <f ca="1">IFERROR(__xludf.DUMMYFUNCTION("GOOGLETRANSLATE(B199, ""en"", ""pl"")"),"Super personel wiatrowy")</f>
        <v>Super personel wiatrowy</v>
      </c>
      <c r="J199" s="25" t="str">
        <f ca="1">IFERROR(__xludf.DUMMYFUNCTION("GOOGLETRANSLATE(B199, ""en"", ""zh"")"),"超级风员工")</f>
        <v>超级风员工</v>
      </c>
      <c r="K199" s="25" t="str">
        <f ca="1">IFERROR(__xludf.DUMMYFUNCTION("GOOGLETRANSLATE(B199, ""en"", ""vi"")"),"Nhân viên siêu gió")</f>
        <v>Nhân viên siêu gió</v>
      </c>
      <c r="L199" s="26" t="str">
        <f ca="1">IFERROR(__xludf.DUMMYFUNCTION("GOOGLETRANSLATE(B199, ""en"", ""hr"")"),"Osoblje super vjetrom")</f>
        <v>Osoblje super vjetrom</v>
      </c>
      <c r="M199" s="28"/>
      <c r="N199" s="28"/>
      <c r="O199" s="28"/>
      <c r="P199" s="28"/>
      <c r="Q199" s="28"/>
      <c r="R199" s="28"/>
      <c r="S199" s="28"/>
      <c r="T199" s="28"/>
      <c r="U199" s="28"/>
      <c r="V199" s="28"/>
      <c r="W199" s="28"/>
      <c r="X199" s="28"/>
      <c r="Y199" s="28"/>
      <c r="Z199" s="28"/>
      <c r="AA199" s="28"/>
      <c r="AB199" s="28"/>
    </row>
    <row r="200" spans="1:28" ht="42" x14ac:dyDescent="0.15">
      <c r="A200" s="21" t="s">
        <v>756</v>
      </c>
      <c r="B200" s="22" t="s">
        <v>757</v>
      </c>
      <c r="C200" s="23" t="str">
        <f ca="1">IFERROR(__xludf.DUMMYFUNCTION("GOOGLETRANSLATE(B200, ""en"", ""fr"")"),"Pousse le vent qui tire plus de vent.")</f>
        <v>Pousse le vent qui tire plus de vent.</v>
      </c>
      <c r="D200" s="23" t="str">
        <f ca="1">IFERROR(__xludf.DUMMYFUNCTION("GOOGLETRANSLATE(B200, ""en"", ""es"")"),"Dispara el viento que dispara más viento.")</f>
        <v>Dispara el viento que dispara más viento.</v>
      </c>
      <c r="E200" s="23" t="str">
        <f ca="1">IFERROR(__xludf.DUMMYFUNCTION("GOOGLETRANSLATE(B200, ""en"", ""ru"")"),"Стреляет ветер, который стреляет больше ветра.")</f>
        <v>Стреляет ветер, который стреляет больше ветра.</v>
      </c>
      <c r="F200" s="23" t="str">
        <f ca="1">IFERROR(__xludf.DUMMYFUNCTION("GOOGLETRANSLATE(B200, ""en"", ""tr"")"),"Daha fazla rüzgar çeken rüzgarı vurur.")</f>
        <v>Daha fazla rüzgar çeken rüzgarı vurur.</v>
      </c>
      <c r="G200" s="23" t="str">
        <f ca="1">IFERROR(__xludf.DUMMYFUNCTION("GOOGLETRANSLATE(B200, ""en"", ""pt"")"),"Atira o vento que atira mais vento.")</f>
        <v>Atira o vento que atira mais vento.</v>
      </c>
      <c r="H200" s="24" t="str">
        <f ca="1">IFERROR(__xludf.DUMMYFUNCTION("GOOGLETRANSLATE(B200, ""en"", ""de"")"),"Schießt Wind, der mehr Wind erschießt.")</f>
        <v>Schießt Wind, der mehr Wind erschießt.</v>
      </c>
      <c r="I200" s="23" t="str">
        <f ca="1">IFERROR(__xludf.DUMMYFUNCTION("GOOGLETRANSLATE(B200, ""en"", ""pl"")"),"Strzela wiatr, który strzela więcej wiatr.")</f>
        <v>Strzela wiatr, który strzela więcej wiatr.</v>
      </c>
      <c r="J200" s="25" t="str">
        <f ca="1">IFERROR(__xludf.DUMMYFUNCTION("GOOGLETRANSLATE(B200, ""en"", ""zh"")"),"射击射击更多风的风。")</f>
        <v>射击射击更多风的风。</v>
      </c>
      <c r="K200" s="25" t="str">
        <f ca="1">IFERROR(__xludf.DUMMYFUNCTION("GOOGLETRANSLATE(B200, ""en"", ""vi"")"),"Bắn gió mà bắn nhiều gió hơn.")</f>
        <v>Bắn gió mà bắn nhiều gió hơn.</v>
      </c>
      <c r="L200" s="26" t="str">
        <f ca="1">IFERROR(__xludf.DUMMYFUNCTION("GOOGLETRANSLATE(B200, ""en"", ""hr"")"),"Pucaj vjetar koji puca više vjetra.")</f>
        <v>Pucaj vjetar koji puca više vjetra.</v>
      </c>
      <c r="M200" s="28"/>
      <c r="N200" s="28"/>
      <c r="O200" s="28"/>
      <c r="P200" s="28"/>
      <c r="Q200" s="28"/>
      <c r="R200" s="28"/>
      <c r="S200" s="28"/>
      <c r="T200" s="28"/>
      <c r="U200" s="28"/>
      <c r="V200" s="28"/>
      <c r="W200" s="28"/>
      <c r="X200" s="28"/>
      <c r="Y200" s="28"/>
      <c r="Z200" s="28"/>
      <c r="AA200" s="28"/>
      <c r="AB200" s="28"/>
    </row>
    <row r="201" spans="1:28" ht="14" x14ac:dyDescent="0.15">
      <c r="A201" s="21" t="s">
        <v>758</v>
      </c>
      <c r="B201" s="22" t="s">
        <v>759</v>
      </c>
      <c r="C201" s="23" t="str">
        <f ca="1">IFERROR(__xludf.DUMMYFUNCTION("GOOGLETRANSLATE(B201, ""en"", ""fr"")"),"Personnel de sang")</f>
        <v>Personnel de sang</v>
      </c>
      <c r="D201" s="23" t="str">
        <f ca="1">IFERROR(__xludf.DUMMYFUNCTION("GOOGLETRANSLATE(B201, ""en"", ""es"")"),"Personal de sangre")</f>
        <v>Personal de sangre</v>
      </c>
      <c r="E201" s="23" t="str">
        <f ca="1">IFERROR(__xludf.DUMMYFUNCTION("GOOGLETRANSLATE(B201, ""en"", ""ru"")"),"Персонал крови")</f>
        <v>Персонал крови</v>
      </c>
      <c r="F201" s="23" t="str">
        <f ca="1">IFERROR(__xludf.DUMMYFUNCTION("GOOGLETRANSLATE(B201, ""en"", ""tr"")"),"Kanocu")</f>
        <v>Kanocu</v>
      </c>
      <c r="G201" s="23" t="str">
        <f ca="1">IFERROR(__xludf.DUMMYFUNCTION("GOOGLETRANSLATE(B201, ""en"", ""pt"")"),"Pessoal de sangue")</f>
        <v>Pessoal de sangue</v>
      </c>
      <c r="H201" s="24" t="str">
        <f ca="1">IFERROR(__xludf.DUMMYFUNCTION("GOOGLETRANSLATE(B201, ""en"", ""de"")"),"Blutpersonal")</f>
        <v>Blutpersonal</v>
      </c>
      <c r="I201" s="23" t="str">
        <f ca="1">IFERROR(__xludf.DUMMYFUNCTION("GOOGLETRANSLATE(B201, ""en"", ""pl"")"),"Personel krwi")</f>
        <v>Personel krwi</v>
      </c>
      <c r="J201" s="25" t="str">
        <f ca="1">IFERROR(__xludf.DUMMYFUNCTION("GOOGLETRANSLATE(B201, ""en"", ""zh"")"),"血员工")</f>
        <v>血员工</v>
      </c>
      <c r="K201" s="25" t="str">
        <f ca="1">IFERROR(__xludf.DUMMYFUNCTION("GOOGLETRANSLATE(B201, ""en"", ""vi"")"),"Nhân viên máu")</f>
        <v>Nhân viên máu</v>
      </c>
      <c r="L201" s="26" t="str">
        <f ca="1">IFERROR(__xludf.DUMMYFUNCTION("GOOGLETRANSLATE(B201, ""en"", ""hr"")"),"Osoblje krvi")</f>
        <v>Osoblje krvi</v>
      </c>
      <c r="M201" s="28"/>
      <c r="N201" s="28"/>
      <c r="O201" s="28"/>
      <c r="P201" s="28"/>
      <c r="Q201" s="28"/>
      <c r="R201" s="28"/>
      <c r="S201" s="28"/>
      <c r="T201" s="28"/>
      <c r="U201" s="28"/>
      <c r="V201" s="28"/>
      <c r="W201" s="28"/>
      <c r="X201" s="28"/>
      <c r="Y201" s="28"/>
      <c r="Z201" s="28"/>
      <c r="AA201" s="28"/>
      <c r="AB201" s="28"/>
    </row>
    <row r="202" spans="1:28" ht="70" x14ac:dyDescent="0.15">
      <c r="A202" s="21" t="s">
        <v>760</v>
      </c>
      <c r="B202" s="22" t="s">
        <v>761</v>
      </c>
      <c r="C202" s="23" t="str">
        <f ca="1">IFERROR(__xludf.DUMMYFUNCTION("GOOGLETRANSLATE(B202, ""en"", ""fr"")"),"Tire un projectile qui vole les points de vie. Consomme des points de vie lorsqu'il est utilisé.")</f>
        <v>Tire un projectile qui vole les points de vie. Consomme des points de vie lorsqu'il est utilisé.</v>
      </c>
      <c r="D202" s="23" t="str">
        <f ca="1">IFERROR(__xludf.DUMMYFUNCTION("GOOGLETRANSLATE(B202, ""en"", ""es"")"),"Dispara un proyectil que roba los puntos de golpe. Consume puntos de golpe cuando se usa.")</f>
        <v>Dispara un proyectil que roba los puntos de golpe. Consume puntos de golpe cuando se usa.</v>
      </c>
      <c r="E202" s="23" t="str">
        <f ca="1">IFERROR(__xludf.DUMMYFUNCTION("GOOGLETRANSLATE(B202,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202" s="23" t="str">
        <f ca="1">IFERROR(__xludf.DUMMYFUNCTION("GOOGLETRANSLATE(B202, ""en"", ""tr"")"),"Hitpoints çalan bir mermi vuruyor. Kullanıldığında hitpoints tüketir.")</f>
        <v>Hitpoints çalan bir mermi vuruyor. Kullanıldığında hitpoints tüketir.</v>
      </c>
      <c r="G202" s="23" t="str">
        <f ca="1">IFERROR(__xludf.DUMMYFUNCTION("GOOGLETRANSLATE(B202, ""en"", ""pt"")"),"Atira um projétil que rouba os pontos de vida. Consome hitpoints quando usado.")</f>
        <v>Atira um projétil que rouba os pontos de vida. Consome hitpoints quando usado.</v>
      </c>
      <c r="H202" s="24" t="str">
        <f ca="1">IFERROR(__xludf.DUMMYFUNCTION("GOOGLETRANSLATE(B202, ""en"", ""de"")"),"Schießt ein Projektil, das HITPOINTs stiehlt. Verbraucht HITPOINTs bei Verwendung.")</f>
        <v>Schießt ein Projektil, das HITPOINTs stiehlt. Verbraucht HITPOINTs bei Verwendung.</v>
      </c>
      <c r="I202" s="23" t="str">
        <f ca="1">IFERROR(__xludf.DUMMYFUNCTION("GOOGLETRANSLATE(B202, ""en"", ""pl"")"),"Strzela pocisk, który kradnie punkty życia. Zużywa punkty HIT, gdy są używane.")</f>
        <v>Strzela pocisk, który kradnie punkty życia. Zużywa punkty HIT, gdy są używane.</v>
      </c>
      <c r="J202" s="25" t="str">
        <f ca="1">IFERROR(__xludf.DUMMYFUNCTION("GOOGLETRANSLATE(B202, ""en"", ""zh"")"),"射击偷窃杀头点的射弹。使用时消耗Hitpoints。")</f>
        <v>射击偷窃杀头点的射弹。使用时消耗Hitpoints。</v>
      </c>
      <c r="K202" s="25" t="str">
        <f ca="1">IFERROR(__xludf.DUMMYFUNCTION("GOOGLETRANSLATE(B202, ""en"", ""vi"")"),"Bắn một viên đạn đánh cắp điểm nhấn. Tiêu thụ các điểm nhấn khi sử dụng.")</f>
        <v>Bắn một viên đạn đánh cắp điểm nhấn. Tiêu thụ các điểm nhấn khi sử dụng.</v>
      </c>
      <c r="L202" s="26" t="str">
        <f ca="1">IFERROR(__xludf.DUMMYFUNCTION("GOOGLETRANSLATE(B202, ""en"", ""hr"")"),"Snima projektil koji krade HitPoints. Troši hitpoints kada se koristi.")</f>
        <v>Snima projektil koji krade HitPoints. Troši hitpoints kada se koristi.</v>
      </c>
      <c r="M202" s="28"/>
      <c r="N202" s="28"/>
      <c r="O202" s="28"/>
      <c r="P202" s="28"/>
      <c r="Q202" s="28"/>
      <c r="R202" s="28"/>
      <c r="S202" s="28"/>
      <c r="T202" s="28"/>
      <c r="U202" s="28"/>
      <c r="V202" s="28"/>
      <c r="W202" s="28"/>
      <c r="X202" s="28"/>
      <c r="Y202" s="28"/>
      <c r="Z202" s="28"/>
      <c r="AA202" s="28"/>
      <c r="AB202" s="28"/>
    </row>
    <row r="203" spans="1:28" ht="28" x14ac:dyDescent="0.15">
      <c r="A203" s="21" t="s">
        <v>762</v>
      </c>
      <c r="B203" s="22" t="s">
        <v>763</v>
      </c>
      <c r="C203" s="23" t="str">
        <f ca="1">IFERROR(__xludf.DUMMYFUNCTION("GOOGLETRANSLATE(B203, ""en"", ""fr"")"),"Personnel Super Blood")</f>
        <v>Personnel Super Blood</v>
      </c>
      <c r="D203" s="23" t="str">
        <f ca="1">IFERROR(__xludf.DUMMYFUNCTION("GOOGLETRANSLATE(B203, ""en"", ""es"")"),"Personal Super Blood")</f>
        <v>Personal Super Blood</v>
      </c>
      <c r="E203" s="23" t="str">
        <f ca="1">IFERROR(__xludf.DUMMYFUNCTION("GOOGLETRANSLATE(B203, ""en"", ""ru"")"),"Super крови персонал")</f>
        <v>Super крови персонал</v>
      </c>
      <c r="F203" s="23" t="str">
        <f ca="1">IFERROR(__xludf.DUMMYFUNCTION("GOOGLETRANSLATE(B203, ""en"", ""tr"")"),"Süper kan personeli")</f>
        <v>Süper kan personeli</v>
      </c>
      <c r="G203" s="23" t="str">
        <f ca="1">IFERROR(__xludf.DUMMYFUNCTION("GOOGLETRANSLATE(B203, ""en"", ""pt"")"),"Pessoal super de sangue")</f>
        <v>Pessoal super de sangue</v>
      </c>
      <c r="H203" s="24" t="str">
        <f ca="1">IFERROR(__xludf.DUMMYFUNCTION("GOOGLETRANSLATE(B203, ""en"", ""de"")"),"Super Blutpersonal")</f>
        <v>Super Blutpersonal</v>
      </c>
      <c r="I203" s="23" t="str">
        <f ca="1">IFERROR(__xludf.DUMMYFUNCTION("GOOGLETRANSLATE(B203, ""en"", ""pl"")"),"Super Blood Staff.")</f>
        <v>Super Blood Staff.</v>
      </c>
      <c r="J203" s="25" t="str">
        <f ca="1">IFERROR(__xludf.DUMMYFUNCTION("GOOGLETRANSLATE(B203, ""en"", ""zh"")"),"超级血员工")</f>
        <v>超级血员工</v>
      </c>
      <c r="K203" s="25" t="str">
        <f ca="1">IFERROR(__xludf.DUMMYFUNCTION("GOOGLETRANSLATE(B203, ""en"", ""vi"")"),"Nhân viên siêu máu")</f>
        <v>Nhân viên siêu máu</v>
      </c>
      <c r="L203" s="26" t="str">
        <f ca="1">IFERROR(__xludf.DUMMYFUNCTION("GOOGLETRANSLATE(B203, ""en"", ""hr"")"),"Osoblje super krvi")</f>
        <v>Osoblje super krvi</v>
      </c>
      <c r="M203" s="28"/>
      <c r="N203" s="28"/>
      <c r="O203" s="28"/>
      <c r="P203" s="28"/>
      <c r="Q203" s="28"/>
      <c r="R203" s="28"/>
      <c r="S203" s="28"/>
      <c r="T203" s="28"/>
      <c r="U203" s="28"/>
      <c r="V203" s="28"/>
      <c r="W203" s="28"/>
      <c r="X203" s="28"/>
      <c r="Y203" s="28"/>
      <c r="Z203" s="28"/>
      <c r="AA203" s="28"/>
      <c r="AB203" s="28"/>
    </row>
    <row r="204" spans="1:28" ht="84" x14ac:dyDescent="0.15">
      <c r="A204" s="21" t="s">
        <v>764</v>
      </c>
      <c r="B204" s="22" t="s">
        <v>765</v>
      </c>
      <c r="C204" s="23" t="str">
        <f ca="1">IFERROR(__xludf.DUMMYFUNCTION("GOOGLETRANSLATE(B204, ""en"", ""fr"")"),"Tire un projectile de vie qui tire plus de projectiles de vie.")</f>
        <v>Tire un projectile de vie qui tire plus de projectiles de vie.</v>
      </c>
      <c r="D204" s="23" t="str">
        <f ca="1">IFERROR(__xludf.DUMMYFUNCTION("GOOGLETRANSLATE(B204, ""en"", ""es"")"),"Dispara a un proyectil de vida que dispara más proyectiles de forma de vida.")</f>
        <v>Dispara a un proyectil de vida que dispara más proyectiles de forma de vida.</v>
      </c>
      <c r="E204" s="23" t="str">
        <f ca="1">IFERROR(__xludf.DUMMYFUNCTION("GOOGLETRANSLATE(B204,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204" s="23" t="str">
        <f ca="1">IFERROR(__xludf.DUMMYFUNCTION("GOOGLETRANSLATE(B204, ""en"", ""tr"")"),"Daha fazla lifesteal mermi çeken bir yaşam mermi vuruyor.")</f>
        <v>Daha fazla lifesteal mermi çeken bir yaşam mermi vuruyor.</v>
      </c>
      <c r="G204" s="23" t="str">
        <f ca="1">IFERROR(__xludf.DUMMYFUNCTION("GOOGLETRANSLATE(B204, ""en"", ""pt"")"),"Atira um projétil de vida que atira mais projéteis de vida.")</f>
        <v>Atira um projétil de vida que atira mais projéteis de vida.</v>
      </c>
      <c r="H204" s="24" t="str">
        <f ca="1">IFERROR(__xludf.DUMMYFUNCTION("GOOGLETRANSLATE(B204, ""en"", ""de"")"),"Schießt ein lebenslesses Projektil, das mehr Lebensläufe schießt.")</f>
        <v>Schießt ein lebenslesses Projektil, das mehr Lebensläufe schießt.</v>
      </c>
      <c r="I204" s="23" t="str">
        <f ca="1">IFERROR(__xludf.DUMMYFUNCTION("GOOGLETRANSLATE(B204, ""en"", ""pl"")"),"Strzeleje pocisku całe życie, który strzela więcej pocisków w stylu życia.")</f>
        <v>Strzeleje pocisku całe życie, który strzela więcej pocisków w stylu życia.</v>
      </c>
      <c r="J204" s="25" t="str">
        <f ca="1">IFERROR(__xludf.DUMMYFUNCTION("GOOGLETRANSLATE(B204, ""en"", ""zh"")"),"射击一个射击更多生活射弹的生活射弹。")</f>
        <v>射击一个射击更多生活射弹的生活射弹。</v>
      </c>
      <c r="K204" s="25" t="str">
        <f ca="1">IFERROR(__xludf.DUMMYFUNCTION("GOOGLETRANSLATE(B204, ""en"", ""vi"")"),"Bắn một viên đạn vòng đời bắn nhiều hơn đạn cứu sinh.")</f>
        <v>Bắn một viên đạn vòng đời bắn nhiều hơn đạn cứu sinh.</v>
      </c>
      <c r="L204" s="26" t="str">
        <f ca="1">IFERROR(__xludf.DUMMYFUNCTION("GOOGLETRANSLATE(B204, ""en"", ""hr"")"),"Snima životni projektil koji puca više života projektila.")</f>
        <v>Snima životni projektil koji puca više života projektila.</v>
      </c>
      <c r="M204" s="28"/>
      <c r="N204" s="28"/>
      <c r="O204" s="28"/>
      <c r="P204" s="28"/>
      <c r="Q204" s="28"/>
      <c r="R204" s="28"/>
      <c r="S204" s="28"/>
      <c r="T204" s="28"/>
      <c r="U204" s="28"/>
      <c r="V204" s="28"/>
      <c r="W204" s="28"/>
      <c r="X204" s="28"/>
      <c r="Y204" s="28"/>
      <c r="Z204" s="28"/>
      <c r="AA204" s="28"/>
      <c r="AB204" s="28"/>
    </row>
    <row r="205" spans="1:28" ht="14" x14ac:dyDescent="0.15">
      <c r="A205" s="21" t="s">
        <v>766</v>
      </c>
      <c r="B205" s="22" t="s">
        <v>767</v>
      </c>
      <c r="C205" s="23" t="str">
        <f ca="1">IFERROR(__xludf.DUMMYFUNCTION("GOOGLETRANSLATE(B205, ""en"", ""fr"")"),"Flèches osseuses")</f>
        <v>Flèches osseuses</v>
      </c>
      <c r="D205" s="23" t="str">
        <f ca="1">IFERROR(__xludf.DUMMYFUNCTION("GOOGLETRANSLATE(B205, ""en"", ""es"")"),"Flechas óseas")</f>
        <v>Flechas óseas</v>
      </c>
      <c r="E205" s="23" t="str">
        <f ca="1">IFERROR(__xludf.DUMMYFUNCTION("GOOGLETRANSLATE(B205, ""en"", ""ru"")"),"Стрелки костей")</f>
        <v>Стрелки костей</v>
      </c>
      <c r="F205" s="23" t="str">
        <f ca="1">IFERROR(__xludf.DUMMYFUNCTION("GOOGLETRANSLATE(B205, ""en"", ""tr"")"),"Kemik okları")</f>
        <v>Kemik okları</v>
      </c>
      <c r="G205" s="23" t="str">
        <f ca="1">IFERROR(__xludf.DUMMYFUNCTION("GOOGLETRANSLATE(B205, ""en"", ""pt"")"),"Flechas ósseas")</f>
        <v>Flechas ósseas</v>
      </c>
      <c r="H205" s="24" t="str">
        <f ca="1">IFERROR(__xludf.DUMMYFUNCTION("GOOGLETRANSLATE(B205, ""en"", ""de"")"),"Knochenpfeile")</f>
        <v>Knochenpfeile</v>
      </c>
      <c r="I205" s="23" t="str">
        <f ca="1">IFERROR(__xludf.DUMMYFUNCTION("GOOGLETRANSLATE(B205, ""en"", ""pl"")"),"Strzałki kości")</f>
        <v>Strzałki kości</v>
      </c>
      <c r="J205" s="25" t="str">
        <f ca="1">IFERROR(__xludf.DUMMYFUNCTION("GOOGLETRANSLATE(B205, ""en"", ""zh"")"),"骨箭头")</f>
        <v>骨箭头</v>
      </c>
      <c r="K205" s="25" t="str">
        <f ca="1">IFERROR(__xludf.DUMMYFUNCTION("GOOGLETRANSLATE(B205, ""en"", ""vi"")"),"Mũi tên xương")</f>
        <v>Mũi tên xương</v>
      </c>
      <c r="L205" s="26" t="str">
        <f ca="1">IFERROR(__xludf.DUMMYFUNCTION("GOOGLETRANSLATE(B205, ""en"", ""hr"")"),"Strijele kostiju")</f>
        <v>Strijele kostiju</v>
      </c>
      <c r="M205" s="28"/>
      <c r="N205" s="28"/>
      <c r="O205" s="28"/>
      <c r="P205" s="28"/>
      <c r="Q205" s="28"/>
      <c r="R205" s="28"/>
      <c r="S205" s="28"/>
      <c r="T205" s="28"/>
      <c r="U205" s="28"/>
      <c r="V205" s="28"/>
      <c r="W205" s="28"/>
      <c r="X205" s="28"/>
      <c r="Y205" s="28"/>
      <c r="Z205" s="28"/>
      <c r="AA205" s="28"/>
      <c r="AB205" s="28"/>
    </row>
    <row r="206" spans="1:28" ht="42" x14ac:dyDescent="0.15">
      <c r="A206" s="21" t="s">
        <v>768</v>
      </c>
      <c r="B206" s="22" t="s">
        <v>578</v>
      </c>
      <c r="C206" s="23" t="str">
        <f ca="1">IFERROR(__xludf.DUMMYFUNCTION("GOOGLETRANSLATE(B206, ""en"", ""fr"")"),"Utilisé comme munition pour un arc.")</f>
        <v>Utilisé comme munition pour un arc.</v>
      </c>
      <c r="D206" s="23" t="str">
        <f ca="1">IFERROR(__xludf.DUMMYFUNCTION("GOOGLETRANSLATE(B206, ""en"", ""es"")"),"Utilizado como municiones para un arco.")</f>
        <v>Utilizado como municiones para un arco.</v>
      </c>
      <c r="E206" s="23" t="str">
        <f ca="1">IFERROR(__xludf.DUMMYFUNCTION("GOOGLETRANSLATE(B206, ""en"", ""ru"")"),"Используется в качестве боеприпасов для лука.")</f>
        <v>Используется в качестве боеприпасов для лука.</v>
      </c>
      <c r="F206" s="23" t="str">
        <f ca="1">IFERROR(__xludf.DUMMYFUNCTION("GOOGLETRANSLATE(B206, ""en"", ""tr"")"),"Bir yay için mühimmat olarak kullanılır.")</f>
        <v>Bir yay için mühimmat olarak kullanılır.</v>
      </c>
      <c r="G206" s="23" t="str">
        <f ca="1">IFERROR(__xludf.DUMMYFUNCTION("GOOGLETRANSLATE(B206, ""en"", ""pt"")"),"Usado como munição para um arco.")</f>
        <v>Usado como munição para um arco.</v>
      </c>
      <c r="H206" s="24" t="str">
        <f ca="1">IFERROR(__xludf.DUMMYFUNCTION("GOOGLETRANSLATE(B206, ""en"", ""de"")"),"Als Munition für einen Bogen verwendet.")</f>
        <v>Als Munition für einen Bogen verwendet.</v>
      </c>
      <c r="I206" s="23" t="str">
        <f ca="1">IFERROR(__xludf.DUMMYFUNCTION("GOOGLETRANSLATE(B206, ""en"", ""pl"")"),"Używany jako amunicja na łuk.")</f>
        <v>Używany jako amunicja na łuk.</v>
      </c>
      <c r="J206" s="25" t="str">
        <f ca="1">IFERROR(__xludf.DUMMYFUNCTION("GOOGLETRANSLATE(B206, ""en"", ""zh"")"),"用作弓的弹药。")</f>
        <v>用作弓的弹药。</v>
      </c>
      <c r="K206" s="25" t="str">
        <f ca="1">IFERROR(__xludf.DUMMYFUNCTION("GOOGLETRANSLATE(B206, ""en"", ""vi"")"),"Dùng làm đạn cho một cây cung.")</f>
        <v>Dùng làm đạn cho một cây cung.</v>
      </c>
      <c r="L206" s="26" t="str">
        <f ca="1">IFERROR(__xludf.DUMMYFUNCTION("GOOGLETRANSLATE(B206, ""en"", ""hr"")"),"Koristi se kao streljivo za luk.")</f>
        <v>Koristi se kao streljivo za luk.</v>
      </c>
      <c r="M206" s="28"/>
      <c r="N206" s="28"/>
      <c r="O206" s="28"/>
      <c r="P206" s="28"/>
      <c r="Q206" s="28"/>
      <c r="R206" s="28"/>
      <c r="S206" s="28"/>
      <c r="T206" s="28"/>
      <c r="U206" s="28"/>
      <c r="V206" s="28"/>
      <c r="W206" s="28"/>
      <c r="X206" s="28"/>
      <c r="Y206" s="28"/>
      <c r="Z206" s="28"/>
      <c r="AA206" s="28"/>
      <c r="AB206" s="28"/>
    </row>
    <row r="207" spans="1:28" ht="14" x14ac:dyDescent="0.15">
      <c r="A207" s="21" t="s">
        <v>769</v>
      </c>
      <c r="B207" s="22" t="s">
        <v>770</v>
      </c>
      <c r="C207" s="23" t="str">
        <f ca="1">IFERROR(__xludf.DUMMYFUNCTION("GOOGLETRANSLATE(B207, ""en"", ""fr"")"),"Peignoir")</f>
        <v>Peignoir</v>
      </c>
      <c r="D207" s="23" t="str">
        <f ca="1">IFERROR(__xludf.DUMMYFUNCTION("GOOGLETRANSLATE(B207, ""en"", ""es"")"),"Túnica")</f>
        <v>Túnica</v>
      </c>
      <c r="E207" s="23" t="str">
        <f ca="1">IFERROR(__xludf.DUMMYFUNCTION("GOOGLETRANSLATE(B207, ""en"", ""ru"")"),"Халат")</f>
        <v>Халат</v>
      </c>
      <c r="F207" s="23" t="str">
        <f ca="1">IFERROR(__xludf.DUMMYFUNCTION("GOOGLETRANSLATE(B207, ""en"", ""tr"")"),"Elbise")</f>
        <v>Elbise</v>
      </c>
      <c r="G207" s="23" t="str">
        <f ca="1">IFERROR(__xludf.DUMMYFUNCTION("GOOGLETRANSLATE(B207, ""en"", ""pt"")"),"Robe.")</f>
        <v>Robe.</v>
      </c>
      <c r="H207" s="24" t="str">
        <f ca="1">IFERROR(__xludf.DUMMYFUNCTION("GOOGLETRANSLATE(B207, ""en"", ""de"")"),"Kleid")</f>
        <v>Kleid</v>
      </c>
      <c r="I207" s="23" t="str">
        <f ca="1">IFERROR(__xludf.DUMMYFUNCTION("GOOGLETRANSLATE(B207, ""en"", ""pl"")"),"Szata")</f>
        <v>Szata</v>
      </c>
      <c r="J207" s="25" t="str">
        <f ca="1">IFERROR(__xludf.DUMMYFUNCTION("GOOGLETRANSLATE(B207, ""en"", ""zh"")"),"长袍")</f>
        <v>长袍</v>
      </c>
      <c r="K207" s="25" t="str">
        <f ca="1">IFERROR(__xludf.DUMMYFUNCTION("GOOGLETRANSLATE(B207, ""en"", ""vi"")"),"Áo choàng")</f>
        <v>Áo choàng</v>
      </c>
      <c r="L207" s="26" t="str">
        <f ca="1">IFERROR(__xludf.DUMMYFUNCTION("GOOGLETRANSLATE(B207, ""en"", ""hr"")"),"Haljina")</f>
        <v>Haljina</v>
      </c>
      <c r="M207" s="28"/>
      <c r="N207" s="28"/>
      <c r="O207" s="28"/>
      <c r="P207" s="28"/>
      <c r="Q207" s="28"/>
      <c r="R207" s="28"/>
      <c r="S207" s="28"/>
      <c r="T207" s="28"/>
      <c r="U207" s="28"/>
      <c r="V207" s="28"/>
      <c r="W207" s="28"/>
      <c r="X207" s="28"/>
      <c r="Y207" s="28"/>
      <c r="Z207" s="28"/>
      <c r="AA207" s="28"/>
      <c r="AB207" s="28"/>
    </row>
    <row r="208" spans="1:28" ht="70" x14ac:dyDescent="0.15">
      <c r="A208" s="21" t="s">
        <v>771</v>
      </c>
      <c r="B208" s="22" t="s">
        <v>772</v>
      </c>
      <c r="C208" s="23" t="str">
        <f ca="1">IFERROR(__xludf.DUMMYFUNCTION("GOOGLETRANSLATE(B208, ""en"", ""fr"")"),"Une robe simple. Augmente votre statistique de potionry tout en porté.")</f>
        <v>Une robe simple. Augmente votre statistique de potionry tout en porté.</v>
      </c>
      <c r="D208" s="23" t="str">
        <f ca="1">IFERROR(__xludf.DUMMYFUNCTION("GOOGLETRANSLATE(B208, ""en"", ""es"")"),"Una túnica llana. Aumenta tu estadística de Potión mientras se usa.")</f>
        <v>Una túnica llana. Aumenta tu estadística de Potión mientras se usa.</v>
      </c>
      <c r="E208" s="23" t="str">
        <f ca="1">IFERROR(__xludf.DUMMYFUNCTION("GOOGLETRANSLATE(B208, ""en"", ""ru"")"),"Простой халат. Увеличивает вашу статурию для носителя.")</f>
        <v>Простой халат. Увеличивает вашу статурию для носителя.</v>
      </c>
      <c r="F208" s="23" t="str">
        <f ca="1">IFERROR(__xludf.DUMMYFUNCTION("GOOGLETRANSLATE(B208, ""en"", ""tr"")"),"Düz bir bornoz. Yıpranırken kovsırı statünüzü arttırır.")</f>
        <v>Düz bir bornoz. Yıpranırken kovsırı statünüzü arttırır.</v>
      </c>
      <c r="G208" s="23" t="str">
        <f ca="1">IFERROR(__xludf.DUMMYFUNCTION("GOOGLETRANSLATE(B208, ""en"", ""pt"")"),"Um robe simples. Aumenta sua estatística de potionia enquanto estiver desgastada.")</f>
        <v>Um robe simples. Aumenta sua estatística de potionia enquanto estiver desgastada.</v>
      </c>
      <c r="H208" s="24" t="str">
        <f ca="1">IFERROR(__xludf.DUMMYFUNCTION("GOOGLETRANSLATE(B208, ""en"", ""de"")"),"Eine einfache Robe. Erhöht Ihre Potionry-Stat, während Sie getragen werden.")</f>
        <v>Eine einfache Robe. Erhöht Ihre Potionry-Stat, während Sie getragen werden.</v>
      </c>
      <c r="I208" s="23" t="str">
        <f ca="1">IFERROR(__xludf.DUMMYFUNCTION("GOOGLETRANSLATE(B208, ""en"", ""pl"")"),"Zwykła szata. Zwiększa statystykę Potionry podczas noszenia.")</f>
        <v>Zwykła szata. Zwiększa statystykę Potionry podczas noszenia.</v>
      </c>
      <c r="J208" s="25" t="str">
        <f ca="1">IFERROR(__xludf.DUMMYFUNCTION("GOOGLETRANSLATE(B208, ""en"", ""zh"")"),"一个普通的长袍。在磨损时增加了你的药水统计数据。")</f>
        <v>一个普通的长袍。在磨损时增加了你的药水统计数据。</v>
      </c>
      <c r="K208" s="25" t="str">
        <f ca="1">IFERROR(__xludf.DUMMYFUNCTION("GOOGLETRANSLATE(B208, ""en"", ""vi"")"),"Một chiếc áo choàng đơn giản. Tăng số liệu thống kê Potionry của bạn trong khi mặc.")</f>
        <v>Một chiếc áo choàng đơn giản. Tăng số liệu thống kê Potionry của bạn trong khi mặc.</v>
      </c>
      <c r="L208" s="26" t="str">
        <f ca="1">IFERROR(__xludf.DUMMYFUNCTION("GOOGLETRANSLATE(B208, ""en"", ""hr"")"),"Običan ogrtač. Povećava vašu stationry stat dok je nošen.")</f>
        <v>Običan ogrtač. Povećava vašu stationry stat dok je nošen.</v>
      </c>
      <c r="M208" s="28"/>
      <c r="N208" s="28"/>
      <c r="O208" s="28"/>
      <c r="P208" s="28"/>
      <c r="Q208" s="28"/>
      <c r="R208" s="28"/>
      <c r="S208" s="28"/>
      <c r="T208" s="28"/>
      <c r="U208" s="28"/>
      <c r="V208" s="28"/>
      <c r="W208" s="28"/>
      <c r="X208" s="28"/>
      <c r="Y208" s="28"/>
      <c r="Z208" s="28"/>
      <c r="AA208" s="28"/>
      <c r="AB208" s="28"/>
    </row>
    <row r="209" spans="1:28" ht="14" x14ac:dyDescent="0.15">
      <c r="A209" s="21" t="s">
        <v>773</v>
      </c>
      <c r="B209" s="22" t="s">
        <v>774</v>
      </c>
      <c r="C209" s="23" t="str">
        <f ca="1">IFERROR(__xludf.DUMMYFUNCTION("GOOGLETRANSLATE(B209, ""en"", ""fr"")"),"Robe de mage")</f>
        <v>Robe de mage</v>
      </c>
      <c r="D209" s="23" t="str">
        <f ca="1">IFERROR(__xludf.DUMMYFUNCTION("GOOGLETRANSLATE(B209, ""en"", ""es"")"),"Mago túnica")</f>
        <v>Mago túnica</v>
      </c>
      <c r="E209" s="23" t="str">
        <f ca="1">IFERROR(__xludf.DUMMYFUNCTION("GOOGLETRANSLATE(B209, ""en"", ""ru"")"),"Маг халат")</f>
        <v>Маг халат</v>
      </c>
      <c r="F209" s="23" t="str">
        <f ca="1">IFERROR(__xludf.DUMMYFUNCTION("GOOGLETRANSLATE(B209, ""en"", ""tr"")"),"Kamçı borusu")</f>
        <v>Kamçı borusu</v>
      </c>
      <c r="G209" s="23" t="str">
        <f ca="1">IFERROR(__xludf.DUMMYFUNCTION("GOOGLETRANSLATE(B209, ""en"", ""pt"")"),"Mage roupão.")</f>
        <v>Mage roupão.</v>
      </c>
      <c r="H209" s="24" t="str">
        <f ca="1">IFERROR(__xludf.DUMMYFUNCTION("GOOGLETRANSLATE(B209, ""en"", ""de"")"),"Magierrobe")</f>
        <v>Magierrobe</v>
      </c>
      <c r="I209" s="23" t="str">
        <f ca="1">IFERROR(__xludf.DUMMYFUNCTION("GOOGLETRANSLATE(B209, ""en"", ""pl"")"),"Szata Maga.")</f>
        <v>Szata Maga.</v>
      </c>
      <c r="J209" s="25" t="str">
        <f ca="1">IFERROR(__xludf.DUMMYFUNCTION("GOOGLETRANSLATE(B209, ""en"", ""zh"")"),"法师长袍")</f>
        <v>法师长袍</v>
      </c>
      <c r="K209" s="25" t="str">
        <f ca="1">IFERROR(__xludf.DUMMYFUNCTION("GOOGLETRANSLATE(B209, ""en"", ""vi"")"),"Pháp sư robe.")</f>
        <v>Pháp sư robe.</v>
      </c>
      <c r="L209" s="26" t="str">
        <f ca="1">IFERROR(__xludf.DUMMYFUNCTION("GOOGLETRANSLATE(B209, ""en"", ""hr"")"),"Haljina")</f>
        <v>Haljina</v>
      </c>
      <c r="M209" s="28"/>
      <c r="N209" s="28"/>
      <c r="O209" s="28"/>
      <c r="P209" s="28"/>
      <c r="Q209" s="28"/>
      <c r="R209" s="28"/>
      <c r="S209" s="28"/>
      <c r="T209" s="28"/>
      <c r="U209" s="28"/>
      <c r="V209" s="28"/>
      <c r="W209" s="28"/>
      <c r="X209" s="28"/>
      <c r="Y209" s="28"/>
      <c r="Z209" s="28"/>
      <c r="AA209" s="28"/>
      <c r="AB209" s="28"/>
    </row>
    <row r="210" spans="1:28" ht="84" x14ac:dyDescent="0.15">
      <c r="A210" s="21" t="s">
        <v>775</v>
      </c>
      <c r="B210" s="22" t="s">
        <v>776</v>
      </c>
      <c r="C210" s="23" t="str">
        <f ca="1">IFERROR(__xludf.DUMMYFUNCTION("GOOGLETRANSLATE(B210, ""en"", ""fr"")"),"Une robe de base pour faire de la magie. Augmente votre statistique magique tout en porté.")</f>
        <v>Une robe de base pour faire de la magie. Augmente votre statistique magique tout en porté.</v>
      </c>
      <c r="D210" s="23" t="str">
        <f ca="1">IFERROR(__xludf.DUMMYFUNCTION("GOOGLETRANSLATE(B210, ""en"", ""es"")"),"Una túnica básica para hacer magia. Aumenta tu estadística mágica mientras está usada.")</f>
        <v>Una túnica básica para hacer magia. Aumenta tu estadística mágica mientras está usada.</v>
      </c>
      <c r="E210" s="23" t="str">
        <f ca="1">IFERROR(__xludf.DUMMYFUNCTION("GOOGLETRANSLATE(B210,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0" s="23" t="str">
        <f ca="1">IFERROR(__xludf.DUMMYFUNCTION("GOOGLETRANSLATE(B210, ""en"", ""tr"")"),"Büyü yapmak için temel bir bornoz. Yıpranırken sihirli statünüzü arttırır.")</f>
        <v>Büyü yapmak için temel bir bornoz. Yıpranırken sihirli statünüzü arttırır.</v>
      </c>
      <c r="G210" s="23" t="str">
        <f ca="1">IFERROR(__xludf.DUMMYFUNCTION("GOOGLETRANSLATE(B210, ""en"", ""pt"")"),"Um manto básico para fazer magia dentro Aumenta sua estatística mágica enquanto estiver desgastada.")</f>
        <v>Um manto básico para fazer magia dentro Aumenta sua estatística mágica enquanto estiver desgastada.</v>
      </c>
      <c r="H210" s="24" t="str">
        <f ca="1">IFERROR(__xludf.DUMMYFUNCTION("GOOGLETRANSLATE(B210, ""en"", ""de"")"),"Ein grundlegender Gewand für die Magie in. Erhöht Ihren Zauberstat während getragen.")</f>
        <v>Ein grundlegender Gewand für die Magie in. Erhöht Ihren Zauberstat während getragen.</v>
      </c>
      <c r="I210" s="23" t="str">
        <f ca="1">IFERROR(__xludf.DUMMYFUNCTION("GOOGLETRANSLATE(B210, ""en"", ""pl"")"),"Podstawowa szata do robienia magii. Zwiększa twoją magiczną statystykę podczas noszenia.")</f>
        <v>Podstawowa szata do robienia magii. Zwiększa twoją magiczną statystykę podczas noszenia.</v>
      </c>
      <c r="J210" s="25" t="str">
        <f ca="1">IFERROR(__xludf.DUMMYFUNCTION("GOOGLETRANSLATE(B210, ""en"", ""zh"")"),"一个基本的长袍做魔术。在磨损时增加了你的魔法统计数据。")</f>
        <v>一个基本的长袍做魔术。在磨损时增加了你的魔法统计数据。</v>
      </c>
      <c r="K210" s="25" t="str">
        <f ca="1">IFERROR(__xludf.DUMMYFUNCTION("GOOGLETRANSLATE(B210,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0" s="26" t="str">
        <f ca="1">IFERROR(__xludf.DUMMYFUNCTION("GOOGLETRANSLATE(B210, ""en"", ""hr"")"),"Osnovna haljina za magiju. Povećava vašu čarobnu statistiku dok se nosi.")</f>
        <v>Osnovna haljina za magiju. Povećava vašu čarobnu statistiku dok se nosi.</v>
      </c>
      <c r="M210" s="28"/>
      <c r="N210" s="28"/>
      <c r="O210" s="28"/>
      <c r="P210" s="28"/>
      <c r="Q210" s="28"/>
      <c r="R210" s="28"/>
      <c r="S210" s="28"/>
      <c r="T210" s="28"/>
      <c r="U210" s="28"/>
      <c r="V210" s="28"/>
      <c r="W210" s="28"/>
      <c r="X210" s="28"/>
      <c r="Y210" s="28"/>
      <c r="Z210" s="28"/>
      <c r="AA210" s="28"/>
      <c r="AB210" s="28"/>
    </row>
    <row r="211" spans="1:28" ht="28" x14ac:dyDescent="0.15">
      <c r="A211" s="21" t="s">
        <v>777</v>
      </c>
      <c r="B211" s="22" t="s">
        <v>778</v>
      </c>
      <c r="C211" s="23" t="str">
        <f ca="1">IFERROR(__xludf.DUMMYFUNCTION("GOOGLETRANSLATE(B211, ""en"", ""fr"")"),"Robe nécromancienne")</f>
        <v>Robe nécromancienne</v>
      </c>
      <c r="D211" s="23" t="str">
        <f ca="1">IFERROR(__xludf.DUMMYFUNCTION("GOOGLETRANSLATE(B211, ""en"", ""es"")"),"Bata de nigromante")</f>
        <v>Bata de nigromante</v>
      </c>
      <c r="E211" s="23" t="str">
        <f ca="1">IFERROR(__xludf.DUMMYFUNCTION("GOOGLETRANSLATE(B211, ""en"", ""ru"")"),"Некромансер")</f>
        <v>Некромансер</v>
      </c>
      <c r="F211" s="23" t="str">
        <f ca="1">IFERROR(__xludf.DUMMYFUNCTION("GOOGLETRANSLATE(B211, ""en"", ""tr"")"),"Necromancer robe")</f>
        <v>Necromancer robe</v>
      </c>
      <c r="G211" s="23" t="str">
        <f ca="1">IFERROR(__xludf.DUMMYFUNCTION("GOOGLETRANSLATE(B211, ""en"", ""pt"")"),"Robe do Necromancer.")</f>
        <v>Robe do Necromancer.</v>
      </c>
      <c r="H211" s="24" t="str">
        <f ca="1">IFERROR(__xludf.DUMMYFUNCTION("GOOGLETRANSLATE(B211, ""en"", ""de"")"),"Nekromantrobe")</f>
        <v>Nekromantrobe</v>
      </c>
      <c r="I211" s="23" t="str">
        <f ca="1">IFERROR(__xludf.DUMMYFUNCTION("GOOGLETRANSLATE(B211, ""en"", ""pl"")"),"Szata Nekromanta")</f>
        <v>Szata Nekromanta</v>
      </c>
      <c r="J211" s="25" t="str">
        <f ca="1">IFERROR(__xludf.DUMMYFUNCTION("GOOGLETRANSLATE(B211, ""en"", ""zh"")"),"死灵法师长袍")</f>
        <v>死灵法师长袍</v>
      </c>
      <c r="K211" s="25" t="str">
        <f ca="1">IFERROR(__xludf.DUMMYFUNCTION("GOOGLETRANSLATE(B211, ""en"", ""vi"")"),"Áo choàng necromancer.")</f>
        <v>Áo choàng necromancer.</v>
      </c>
      <c r="L211" s="26" t="str">
        <f ca="1">IFERROR(__xludf.DUMMYFUNCTION("GOOGLETRANSLATE(B211, ""en"", ""hr"")"),"Haljina nekromanta")</f>
        <v>Haljina nekromanta</v>
      </c>
      <c r="M211" s="28"/>
      <c r="N211" s="28"/>
      <c r="O211" s="28"/>
      <c r="P211" s="28"/>
      <c r="Q211" s="28"/>
      <c r="R211" s="28"/>
      <c r="S211" s="28"/>
      <c r="T211" s="28"/>
      <c r="U211" s="28"/>
      <c r="V211" s="28"/>
      <c r="W211" s="28"/>
      <c r="X211" s="28"/>
      <c r="Y211" s="28"/>
      <c r="Z211" s="28"/>
      <c r="AA211" s="28"/>
      <c r="AB211" s="28"/>
    </row>
    <row r="212" spans="1:28" ht="84" x14ac:dyDescent="0.15">
      <c r="A212" s="21" t="s">
        <v>779</v>
      </c>
      <c r="B212" s="22" t="s">
        <v>776</v>
      </c>
      <c r="C212" s="23" t="str">
        <f ca="1">IFERROR(__xludf.DUMMYFUNCTION("GOOGLETRANSLATE(B212, ""en"", ""fr"")"),"Une robe de base pour faire de la magie. Augmente votre statistique magique tout en porté.")</f>
        <v>Une robe de base pour faire de la magie. Augmente votre statistique magique tout en porté.</v>
      </c>
      <c r="D212" s="23" t="str">
        <f ca="1">IFERROR(__xludf.DUMMYFUNCTION("GOOGLETRANSLATE(B212, ""en"", ""es"")"),"Una túnica básica para hacer magia. Aumenta tu estadística mágica mientras está usada.")</f>
        <v>Una túnica básica para hacer magia. Aumenta tu estadística mágica mientras está usada.</v>
      </c>
      <c r="E212" s="23" t="str">
        <f ca="1">IFERROR(__xludf.DUMMYFUNCTION("GOOGLETRANSLATE(B212,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2" s="23" t="str">
        <f ca="1">IFERROR(__xludf.DUMMYFUNCTION("GOOGLETRANSLATE(B212, ""en"", ""tr"")"),"Büyü yapmak için temel bir bornoz. Yıpranırken sihirli statünüzü arttırır.")</f>
        <v>Büyü yapmak için temel bir bornoz. Yıpranırken sihirli statünüzü arttırır.</v>
      </c>
      <c r="G212" s="23" t="str">
        <f ca="1">IFERROR(__xludf.DUMMYFUNCTION("GOOGLETRANSLATE(B212, ""en"", ""pt"")"),"Um manto básico para fazer magia dentro Aumenta sua estatística mágica enquanto estiver desgastada.")</f>
        <v>Um manto básico para fazer magia dentro Aumenta sua estatística mágica enquanto estiver desgastada.</v>
      </c>
      <c r="H212" s="24" t="str">
        <f ca="1">IFERROR(__xludf.DUMMYFUNCTION("GOOGLETRANSLATE(B212, ""en"", ""de"")"),"Ein grundlegender Gewand für die Magie in. Erhöht Ihren Zauberstat während getragen.")</f>
        <v>Ein grundlegender Gewand für die Magie in. Erhöht Ihren Zauberstat während getragen.</v>
      </c>
      <c r="I212" s="23" t="str">
        <f ca="1">IFERROR(__xludf.DUMMYFUNCTION("GOOGLETRANSLATE(B212, ""en"", ""pl"")"),"Podstawowa szata do robienia magii. Zwiększa twoją magiczną statystykę podczas noszenia.")</f>
        <v>Podstawowa szata do robienia magii. Zwiększa twoją magiczną statystykę podczas noszenia.</v>
      </c>
      <c r="J212" s="25" t="str">
        <f ca="1">IFERROR(__xludf.DUMMYFUNCTION("GOOGLETRANSLATE(B212, ""en"", ""zh"")"),"一个基本的长袍做魔术。在磨损时增加了你的魔法统计数据。")</f>
        <v>一个基本的长袍做魔术。在磨损时增加了你的魔法统计数据。</v>
      </c>
      <c r="K212" s="25" t="str">
        <f ca="1">IFERROR(__xludf.DUMMYFUNCTION("GOOGLETRANSLATE(B212,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2" s="26" t="str">
        <f ca="1">IFERROR(__xludf.DUMMYFUNCTION("GOOGLETRANSLATE(B212, ""en"", ""hr"")"),"Osnovna haljina za magiju. Povećava vašu čarobnu statistiku dok se nosi.")</f>
        <v>Osnovna haljina za magiju. Povećava vašu čarobnu statistiku dok se nosi.</v>
      </c>
      <c r="M212" s="28"/>
      <c r="N212" s="28"/>
      <c r="O212" s="28"/>
      <c r="P212" s="28"/>
      <c r="Q212" s="28"/>
      <c r="R212" s="28"/>
      <c r="S212" s="28"/>
      <c r="T212" s="28"/>
      <c r="U212" s="28"/>
      <c r="V212" s="28"/>
      <c r="W212" s="28"/>
      <c r="X212" s="28"/>
      <c r="Y212" s="28"/>
      <c r="Z212" s="28"/>
      <c r="AA212" s="28"/>
      <c r="AB212" s="28"/>
    </row>
    <row r="213" spans="1:28" ht="14" x14ac:dyDescent="0.15">
      <c r="A213" s="21" t="s">
        <v>780</v>
      </c>
      <c r="B213" s="22" t="s">
        <v>781</v>
      </c>
      <c r="C213" s="23" t="str">
        <f ca="1">IFERROR(__xludf.DUMMYFUNCTION("GOOGLETRANSLATE(B213, ""en"", ""fr"")"),"Manteau")</f>
        <v>Manteau</v>
      </c>
      <c r="D213" s="23" t="str">
        <f ca="1">IFERROR(__xludf.DUMMYFUNCTION("GOOGLETRANSLATE(B213, ""en"", ""es"")"),"Capa")</f>
        <v>Capa</v>
      </c>
      <c r="E213" s="23" t="str">
        <f ca="1">IFERROR(__xludf.DUMMYFUNCTION("GOOGLETRANSLATE(B213, ""en"", ""ru"")"),"Плащ")</f>
        <v>Плащ</v>
      </c>
      <c r="F213" s="23" t="str">
        <f ca="1">IFERROR(__xludf.DUMMYFUNCTION("GOOGLETRANSLATE(B213, ""en"", ""tr"")"),"Pelerin")</f>
        <v>Pelerin</v>
      </c>
      <c r="G213" s="23" t="str">
        <f ca="1">IFERROR(__xludf.DUMMYFUNCTION("GOOGLETRANSLATE(B213, ""en"", ""pt"")"),"Capa")</f>
        <v>Capa</v>
      </c>
      <c r="H213" s="24" t="str">
        <f ca="1">IFERROR(__xludf.DUMMYFUNCTION("GOOGLETRANSLATE(B213, ""en"", ""de"")"),"Mantel")</f>
        <v>Mantel</v>
      </c>
      <c r="I213" s="23" t="str">
        <f ca="1">IFERROR(__xludf.DUMMYFUNCTION("GOOGLETRANSLATE(B213, ""en"", ""pl"")"),"Płaszcz")</f>
        <v>Płaszcz</v>
      </c>
      <c r="J213" s="25" t="str">
        <f ca="1">IFERROR(__xludf.DUMMYFUNCTION("GOOGLETRANSLATE(B213, ""en"", ""zh"")"),"披风")</f>
        <v>披风</v>
      </c>
      <c r="K213" s="25" t="str">
        <f ca="1">IFERROR(__xludf.DUMMYFUNCTION("GOOGLETRANSLATE(B213, ""en"", ""vi"")"),"Áo choàng.")</f>
        <v>Áo choàng.</v>
      </c>
      <c r="L213" s="26" t="str">
        <f ca="1">IFERROR(__xludf.DUMMYFUNCTION("GOOGLETRANSLATE(B213, ""en"", ""hr"")"),"Plašt")</f>
        <v>Plašt</v>
      </c>
      <c r="M213" s="28"/>
      <c r="N213" s="28"/>
      <c r="O213" s="28"/>
      <c r="P213" s="28"/>
      <c r="Q213" s="28"/>
      <c r="R213" s="28"/>
      <c r="S213" s="28"/>
      <c r="T213" s="28"/>
      <c r="U213" s="28"/>
      <c r="V213" s="28"/>
      <c r="W213" s="28"/>
      <c r="X213" s="28"/>
      <c r="Y213" s="28"/>
      <c r="Z213" s="28"/>
      <c r="AA213" s="28"/>
      <c r="AB213" s="28"/>
    </row>
    <row r="214" spans="1:28" ht="84" x14ac:dyDescent="0.15">
      <c r="A214" s="21" t="s">
        <v>782</v>
      </c>
      <c r="B214" s="22" t="s">
        <v>783</v>
      </c>
      <c r="C214" s="23" t="str">
        <f ca="1">IFERROR(__xludf.DUMMYFUNCTION("GOOGLETRANSLATE(B214, ""en"", ""fr"")"),"Une manteau de base pour faire varie. Augmente votre statistique à distance tout en portant.")</f>
        <v>Une manteau de base pour faire varie. Augmente votre statistique à distance tout en portant.</v>
      </c>
      <c r="D214" s="23" t="str">
        <f ca="1">IFERROR(__xludf.DUMMYFUNCTION("GOOGLETRANSLATE(B214, ""en"", ""es"")"),"Una capa básica para hacer iban. Aumenta tu estadística a la izquierda mientras usa.")</f>
        <v>Una capa básica para hacer iban. Aumenta tu estadística a la izquierda mientras usa.</v>
      </c>
      <c r="E214" s="23" t="str">
        <f ca="1">IFERROR(__xludf.DUMMYFUNCTION("GOOGLETRANSLATE(B214,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4" s="23" t="str">
        <f ca="1">IFERROR(__xludf.DUMMYFUNCTION("GOOGLETRANSLATE(B214, ""en"", ""tr"")"),"Değişmek için temel bir pelerin. Yıpranırken değişen statünüzü arttırır.")</f>
        <v>Değişmek için temel bir pelerin. Yıpranırken değişen statünüzü arttırır.</v>
      </c>
      <c r="G214" s="23" t="str">
        <f ca="1">IFERROR(__xludf.DUMMYFUNCTION("GOOGLETRANSLATE(B214, ""en"", ""pt"")"),"Um manto básico para fazer variou. Aumenta sua estatística à distância enquanto usava.")</f>
        <v>Um manto básico para fazer variou. Aumenta sua estatística à distância enquanto usava.</v>
      </c>
      <c r="H214" s="24" t="str">
        <f ca="1">IFERROR(__xludf.DUMMYFUNCTION("GOOGLETRANSLATE(B214, ""en"", ""de"")"),"Ein grundlegender Mantel für das Tuning in. Erhöht Ihre Fernkampfstat, während Sie getragen werden.")</f>
        <v>Ein grundlegender Mantel für das Tuning in. Erhöht Ihre Fernkampfstat, während Sie getragen werden.</v>
      </c>
      <c r="I214" s="23" t="str">
        <f ca="1">IFERROR(__xludf.DUMMYFUNCTION("GOOGLETRANSLATE(B214, ""en"", ""pl"")"),"Podstawowy płaszcz do wykrycia. Zwiększa twój dystansowy statystykę podczas noszenia.")</f>
        <v>Podstawowy płaszcz do wykrycia. Zwiększa twój dystansowy statystykę podczas noszenia.</v>
      </c>
      <c r="J214" s="25" t="str">
        <f ca="1">IFERROR(__xludf.DUMMYFUNCTION("GOOGLETRANSLATE(B214, ""en"", ""zh"")"),"用于做的基本斗篷。磨损时增加了你的范围的统计数据。")</f>
        <v>用于做的基本斗篷。磨损时增加了你的范围的统计数据。</v>
      </c>
      <c r="K214" s="25" t="str">
        <f ca="1">IFERROR(__xludf.DUMMYFUNCTION("GOOGLETRANSLATE(B214, ""en"", ""vi"")"),"Một chiếc áo choàng cơ bản để thực hiện trong. Tăng số liệu thống kê tầm xa của bạn trong khi mặc.")</f>
        <v>Một chiếc áo choàng cơ bản để thực hiện trong. Tăng số liệu thống kê tầm xa của bạn trong khi mặc.</v>
      </c>
      <c r="L214" s="26" t="str">
        <f ca="1">IFERROR(__xludf.DUMMYFUNCTION("GOOGLETRANSLATE(B214, ""en"", ""hr"")"),"Osnovni ogrtač za rad u rasponu. Povećava vašu statu dok je nosila.")</f>
        <v>Osnovni ogrtač za rad u rasponu. Povećava vašu statu dok je nosila.</v>
      </c>
      <c r="M214" s="28"/>
      <c r="N214" s="28"/>
      <c r="O214" s="28"/>
      <c r="P214" s="28"/>
      <c r="Q214" s="28"/>
      <c r="R214" s="28"/>
      <c r="S214" s="28"/>
      <c r="T214" s="28"/>
      <c r="U214" s="28"/>
      <c r="V214" s="28"/>
      <c r="W214" s="28"/>
      <c r="X214" s="28"/>
      <c r="Y214" s="28"/>
      <c r="Z214" s="28"/>
      <c r="AA214" s="28"/>
      <c r="AB214" s="28"/>
    </row>
    <row r="215" spans="1:28" ht="14" x14ac:dyDescent="0.15">
      <c r="A215" s="21" t="s">
        <v>784</v>
      </c>
      <c r="B215" s="22" t="s">
        <v>785</v>
      </c>
      <c r="C215" s="23" t="str">
        <f ca="1">IFERROR(__xludf.DUMMYFUNCTION("GOOGLETRANSLATE(B215, ""en"", ""fr"")"),"Ninja Garb")</f>
        <v>Ninja Garb</v>
      </c>
      <c r="D215" s="23" t="str">
        <f ca="1">IFERROR(__xludf.DUMMYFUNCTION("GOOGLETRANSLATE(B215, ""en"", ""es"")"),"Ninja garb")</f>
        <v>Ninja garb</v>
      </c>
      <c r="E215" s="23" t="str">
        <f ca="1">IFERROR(__xludf.DUMMYFUNCTION("GOOGLETRANSLATE(B215, ""en"", ""ru"")"),"Ниндзя одеваться")</f>
        <v>Ниндзя одеваться</v>
      </c>
      <c r="F215" s="23" t="str">
        <f ca="1">IFERROR(__xludf.DUMMYFUNCTION("GOOGLETRANSLATE(B215, ""en"", ""tr"")"),"Ninja garb")</f>
        <v>Ninja garb</v>
      </c>
      <c r="G215" s="23" t="str">
        <f ca="1">IFERROR(__xludf.DUMMYFUNCTION("GOOGLETRANSLATE(B215, ""en"", ""pt"")"),"Ninja Garb.")</f>
        <v>Ninja Garb.</v>
      </c>
      <c r="H215" s="24" t="str">
        <f ca="1">IFERROR(__xludf.DUMMYFUNCTION("GOOGLETRANSLATE(B215, ""en"", ""de"")"),"Ninja GARB.")</f>
        <v>Ninja GARB.</v>
      </c>
      <c r="I215" s="23" t="str">
        <f ca="1">IFERROR(__xludf.DUMMYFUNCTION("GOOGLETRANSLATE(B215, ""en"", ""pl"")"),"Ninja Garb.")</f>
        <v>Ninja Garb.</v>
      </c>
      <c r="J215" s="25" t="str">
        <f ca="1">IFERROR(__xludf.DUMMYFUNCTION("GOOGLETRANSLATE(B215, ""en"", ""zh"")"),"忍者服装")</f>
        <v>忍者服装</v>
      </c>
      <c r="K215" s="25" t="str">
        <f ca="1">IFERROR(__xludf.DUMMYFUNCTION("GOOGLETRANSLATE(B215, ""en"", ""vi"")"),"Ninja Garb.")</f>
        <v>Ninja Garb.</v>
      </c>
      <c r="L215" s="26" t="str">
        <f ca="1">IFERROR(__xludf.DUMMYFUNCTION("GOOGLETRANSLATE(B215, ""en"", ""hr"")"),"Ninja odjeća")</f>
        <v>Ninja odjeća</v>
      </c>
      <c r="M215" s="28"/>
      <c r="N215" s="28"/>
      <c r="O215" s="28"/>
      <c r="P215" s="28"/>
      <c r="Q215" s="28"/>
      <c r="R215" s="28"/>
      <c r="S215" s="28"/>
      <c r="T215" s="28"/>
      <c r="U215" s="28"/>
      <c r="V215" s="28"/>
      <c r="W215" s="28"/>
      <c r="X215" s="28"/>
      <c r="Y215" s="28"/>
      <c r="Z215" s="28"/>
      <c r="AA215" s="28"/>
      <c r="AB215" s="28"/>
    </row>
    <row r="216" spans="1:28" ht="84" x14ac:dyDescent="0.15">
      <c r="A216" s="21" t="s">
        <v>786</v>
      </c>
      <c r="B216" s="22" t="s">
        <v>787</v>
      </c>
      <c r="C216" s="23" t="str">
        <f ca="1">IFERROR(__xludf.DUMMYFUNCTION("GOOGLETRANSLATE(B216, ""en"", ""fr"")"),"Augmente vos statistiques de mêlée et à distance et cache votre nom tout en porté.")</f>
        <v>Augmente vos statistiques de mêlée et à distance et cache votre nom tout en porté.</v>
      </c>
      <c r="D216" s="23" t="str">
        <f ca="1">IFERROR(__xludf.DUMMYFUNCTION("GOOGLETRANSLATE(B216, ""en"", ""es"")"),"Aumenta tus estadísticas cuerpo a cuerpo y a distancia y esconde tu nombre mientras estaba usado.")</f>
        <v>Aumenta tus estadísticas cuerpo a cuerpo y a distancia y esconde tu nombre mientras estaba usado.</v>
      </c>
      <c r="E216" s="23" t="str">
        <f ca="1">IFERROR(__xludf.DUMMYFUNCTION("GOOGLETRANSLATE(B216,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6" s="23" t="str">
        <f ca="1">IFERROR(__xludf.DUMMYFUNCTION("GOOGLETRANSLATE(B216, ""en"", ""tr"")"),"Yakın muharebeyi ve değişken istatistiklerinizi arttırır ve yıpranırken adınızı gizler.")</f>
        <v>Yakın muharebeyi ve değişken istatistiklerinizi arttırır ve yıpranırken adınızı gizler.</v>
      </c>
      <c r="G216" s="23" t="str">
        <f ca="1">IFERROR(__xludf.DUMMYFUNCTION("GOOGLETRANSLATE(B216, ""en"", ""pt"")"),"Aumenta suas estatísticas corpo-a-corpo e variadas e esconde seu nome enquanto estiver desgastado.")</f>
        <v>Aumenta suas estatísticas corpo-a-corpo e variadas e esconde seu nome enquanto estiver desgastado.</v>
      </c>
      <c r="H216" s="24" t="str">
        <f ca="1">IFERROR(__xludf.DUMMYFUNCTION("GOOGLETRANSLATE(B216, ""en"", ""de"")"),"Erhöht Ihren Nahkampf- und Fernbedienungsstat und versteckt Ihren Namen, während Sie getragen werden.")</f>
        <v>Erhöht Ihren Nahkampf- und Fernbedienungsstat und versteckt Ihren Namen, während Sie getragen werden.</v>
      </c>
      <c r="I216" s="23" t="str">
        <f ca="1">IFERROR(__xludf.DUMMYFUNCTION("GOOGLETRANSLATE(B216, ""en"", ""pl"")"),"Zwiększa statywy wręcz i dystansowały i ukrywa swoje imię podczas noszenia.")</f>
        <v>Zwiększa statywy wręcz i dystansowały i ukrywa swoje imię podczas noszenia.</v>
      </c>
      <c r="J216" s="25" t="str">
        <f ca="1">IFERROR(__xludf.DUMMYFUNCTION("GOOGLETRANSLATE(B216, ""en"", ""zh"")"),"增加你的近战和范围的统计数据，并在磨损时隐藏你的名字。")</f>
        <v>增加你的近战和范围的统计数据，并在磨损时隐藏你的名字。</v>
      </c>
      <c r="K216" s="25" t="str">
        <f ca="1">IFERROR(__xludf.DUMMYFUNCTION("GOOGLETRANSLATE(B216, ""en"", ""vi"")"),"Tăng số liệu thống kê cận chiến và tầm xa của bạn và che giấu tên của bạn trong khi bị mòn.")</f>
        <v>Tăng số liệu thống kê cận chiến và tầm xa của bạn và che giấu tên của bạn trong khi bị mòn.</v>
      </c>
      <c r="L216" s="26" t="str">
        <f ca="1">IFERROR(__xludf.DUMMYFUNCTION("GOOGLETRANSLATE(B216, ""en"", ""hr"")"),"Povećava gužvu i kreće se i skriva vaše ime dok je istrošeno.")</f>
        <v>Povećava gužvu i kreće se i skriva vaše ime dok je istrošeno.</v>
      </c>
      <c r="M216" s="28"/>
      <c r="N216" s="28"/>
      <c r="O216" s="28"/>
      <c r="P216" s="28"/>
      <c r="Q216" s="28"/>
      <c r="R216" s="28"/>
      <c r="S216" s="28"/>
      <c r="T216" s="28"/>
      <c r="U216" s="28"/>
      <c r="V216" s="28"/>
      <c r="W216" s="28"/>
      <c r="X216" s="28"/>
      <c r="Y216" s="28"/>
      <c r="Z216" s="28"/>
      <c r="AA216" s="28"/>
      <c r="AB216" s="28"/>
    </row>
    <row r="217" spans="1:28" ht="14" x14ac:dyDescent="0.15">
      <c r="A217" s="21" t="s">
        <v>788</v>
      </c>
      <c r="B217" s="22" t="s">
        <v>789</v>
      </c>
      <c r="C217" s="23" t="str">
        <f ca="1">IFERROR(__xludf.DUMMYFUNCTION("GOOGLETRANSLATE(B217, ""en"", ""fr"")"),"Charte")</f>
        <v>Charte</v>
      </c>
      <c r="D217" s="23" t="str">
        <f ca="1">IFERROR(__xludf.DUMMYFUNCTION("GOOGLETRANSLATE(B217, ""en"", ""es"")"),"Carta")</f>
        <v>Carta</v>
      </c>
      <c r="E217" s="23" t="str">
        <f ca="1">IFERROR(__xludf.DUMMYFUNCTION("GOOGLETRANSLATE(B217, ""en"", ""ru"")"),"Шартер")</f>
        <v>Шартер</v>
      </c>
      <c r="F217" s="23" t="str">
        <f ca="1">IFERROR(__xludf.DUMMYFUNCTION("GOOGLETRANSLATE(B217, ""en"", ""tr"")"),"Tüzük")</f>
        <v>Tüzük</v>
      </c>
      <c r="G217" s="23" t="str">
        <f ca="1">IFERROR(__xludf.DUMMYFUNCTION("GOOGLETRANSLATE(B217, ""en"", ""pt"")"),"Carta")</f>
        <v>Carta</v>
      </c>
      <c r="H217" s="24" t="str">
        <f ca="1">IFERROR(__xludf.DUMMYFUNCTION("GOOGLETRANSLATE(B217, ""en"", ""de"")"),"Charta")</f>
        <v>Charta</v>
      </c>
      <c r="I217" s="23" t="str">
        <f ca="1">IFERROR(__xludf.DUMMYFUNCTION("GOOGLETRANSLATE(B217, ""en"", ""pl"")"),"Czarter")</f>
        <v>Czarter</v>
      </c>
      <c r="J217" s="25" t="str">
        <f ca="1">IFERROR(__xludf.DUMMYFUNCTION("GOOGLETRANSLATE(B217, ""en"", ""zh"")"),"宪章")</f>
        <v>宪章</v>
      </c>
      <c r="K217" s="25" t="str">
        <f ca="1">IFERROR(__xludf.DUMMYFUNCTION("GOOGLETRANSLATE(B217, ""en"", ""vi"")"),"Điều lệ")</f>
        <v>Điều lệ</v>
      </c>
      <c r="L217" s="26" t="str">
        <f ca="1">IFERROR(__xludf.DUMMYFUNCTION("GOOGLETRANSLATE(B217, ""en"", ""hr"")"),"Čarter")</f>
        <v>Čarter</v>
      </c>
      <c r="M217" s="28"/>
      <c r="N217" s="28"/>
      <c r="O217" s="28"/>
      <c r="P217" s="28"/>
      <c r="Q217" s="28"/>
      <c r="R217" s="28"/>
      <c r="S217" s="28"/>
      <c r="T217" s="28"/>
      <c r="U217" s="28"/>
      <c r="V217" s="28"/>
      <c r="W217" s="28"/>
      <c r="X217" s="28"/>
      <c r="Y217" s="28"/>
      <c r="Z217" s="28"/>
      <c r="AA217" s="28"/>
      <c r="AB217" s="28"/>
    </row>
    <row r="218" spans="1:28" ht="140" x14ac:dyDescent="0.15">
      <c r="A218" s="21" t="s">
        <v>790</v>
      </c>
      <c r="B218" s="22" t="s">
        <v>791</v>
      </c>
      <c r="C218" s="23" t="str">
        <f ca="1">IFERROR(__xludf.DUMMYFUNCTION("GOOGLETRANSLATE(B218,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8" s="23" t="str">
        <f ca="1">IFERROR(__xludf.DUMMYFUNCTION("GOOGLETRANSLATE(B218,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8" s="23" t="str">
        <f ca="1">IFERROR(__xludf.DUMMYFUNCTION("GOOGLETRANSLATE(B218,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8" s="23" t="str">
        <f ca="1">IFERROR(__xludf.DUMMYFUNCTION("GOOGLETRANSLATE(B218,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8" s="23" t="str">
        <f ca="1">IFERROR(__xludf.DUMMYFUNCTION("GOOGLETRANSLATE(B218,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8" s="24" t="str">
        <f ca="1">IFERROR(__xludf.DUMMYFUNCTION("GOOGLETRANSLATE(B218,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8" s="23" t="str">
        <f ca="1">IFERROR(__xludf.DUMMYFUNCTION("GOOGLETRANSLATE(B218,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8" s="25" t="str">
        <f ca="1">IFERROR(__xludf.DUMMYFUNCTION("GOOGLETRANSLATE(B218, ""en"", ""zh"")"),"氏族结构。一个开始氏族的地方。用于制作其他氏族结构。如果这被销毁，氏族和所有结构也被摧毁。")</f>
        <v>氏族结构。一个开始氏族的地方。用于制作其他氏族结构。如果这被销毁，氏族和所有结构也被摧毁。</v>
      </c>
      <c r="K218" s="25" t="str">
        <f ca="1">IFERROR(__xludf.DUMMYFUNCTION("GOOGLETRANSLATE(B218,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8" s="26" t="str">
        <f ca="1">IFERROR(__xludf.DUMMYFUNCTION("GOOGLETRANSLATE(B218,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8" s="28"/>
      <c r="N218" s="28"/>
      <c r="O218" s="28"/>
      <c r="P218" s="28"/>
      <c r="Q218" s="28"/>
      <c r="R218" s="28"/>
      <c r="S218" s="28"/>
      <c r="T218" s="28"/>
      <c r="U218" s="28"/>
      <c r="V218" s="28"/>
      <c r="W218" s="28"/>
      <c r="X218" s="28"/>
      <c r="Y218" s="28"/>
      <c r="Z218" s="28"/>
      <c r="AA218" s="28"/>
      <c r="AB218" s="28"/>
    </row>
    <row r="219" spans="1:28" ht="14" x14ac:dyDescent="0.15">
      <c r="A219" s="21" t="s">
        <v>792</v>
      </c>
      <c r="B219" s="22" t="s">
        <v>793</v>
      </c>
      <c r="C219" s="23" t="str">
        <f ca="1">IFERROR(__xludf.DUMMYFUNCTION("GOOGLETRANSLATE(B219, ""en"", ""fr"")"),"Mur de bois")</f>
        <v>Mur de bois</v>
      </c>
      <c r="D219" s="23" t="str">
        <f ca="1">IFERROR(__xludf.DUMMYFUNCTION("GOOGLETRANSLATE(B219, ""en"", ""es"")"),"Pared de madera")</f>
        <v>Pared de madera</v>
      </c>
      <c r="E219" s="23" t="str">
        <f ca="1">IFERROR(__xludf.DUMMYFUNCTION("GOOGLETRANSLATE(B219, ""en"", ""ru"")"),"Деревянная стена")</f>
        <v>Деревянная стена</v>
      </c>
      <c r="F219" s="23" t="str">
        <f ca="1">IFERROR(__xludf.DUMMYFUNCTION("GOOGLETRANSLATE(B219, ""en"", ""tr"")"),"Tahta duvar")</f>
        <v>Tahta duvar</v>
      </c>
      <c r="G219" s="23" t="str">
        <f ca="1">IFERROR(__xludf.DUMMYFUNCTION("GOOGLETRANSLATE(B219, ""en"", ""pt"")"),"Parede de madeira")</f>
        <v>Parede de madeira</v>
      </c>
      <c r="H219" s="24" t="str">
        <f ca="1">IFERROR(__xludf.DUMMYFUNCTION("GOOGLETRANSLATE(B219, ""en"", ""de"")"),"Holzwand")</f>
        <v>Holzwand</v>
      </c>
      <c r="I219" s="23" t="str">
        <f ca="1">IFERROR(__xludf.DUMMYFUNCTION("GOOGLETRANSLATE(B219, ""en"", ""pl"")"),"Drewniana ściana")</f>
        <v>Drewniana ściana</v>
      </c>
      <c r="J219" s="25" t="str">
        <f ca="1">IFERROR(__xludf.DUMMYFUNCTION("GOOGLETRANSLATE(B219, ""en"", ""zh"")"),"木墙")</f>
        <v>木墙</v>
      </c>
      <c r="K219" s="25" t="str">
        <f ca="1">IFERROR(__xludf.DUMMYFUNCTION("GOOGLETRANSLATE(B219, ""en"", ""vi"")"),"Bức tường gỗ")</f>
        <v>Bức tường gỗ</v>
      </c>
      <c r="L219" s="26" t="str">
        <f ca="1">IFERROR(__xludf.DUMMYFUNCTION("GOOGLETRANSLATE(B219, ""en"", ""hr"")"),"Drveni zid")</f>
        <v>Drveni zid</v>
      </c>
      <c r="M219" s="28"/>
      <c r="N219" s="28"/>
      <c r="O219" s="28"/>
      <c r="P219" s="28"/>
      <c r="Q219" s="28"/>
      <c r="R219" s="28"/>
      <c r="S219" s="28"/>
      <c r="T219" s="28"/>
      <c r="U219" s="28"/>
      <c r="V219" s="28"/>
      <c r="W219" s="28"/>
      <c r="X219" s="28"/>
      <c r="Y219" s="28"/>
      <c r="Z219" s="28"/>
      <c r="AA219" s="28"/>
      <c r="AB219" s="28"/>
    </row>
    <row r="220" spans="1:28" ht="56" x14ac:dyDescent="0.15">
      <c r="A220" s="21" t="s">
        <v>794</v>
      </c>
      <c r="B220" s="22" t="s">
        <v>795</v>
      </c>
      <c r="C220" s="23" t="str">
        <f ca="1">IFERROR(__xludf.DUMMYFUNCTION("GOOGLETRANSLATE(B220, ""en"", ""fr"")"),"Structure du clan. Une faible défense pour une base.")</f>
        <v>Structure du clan. Une faible défense pour une base.</v>
      </c>
      <c r="D220" s="23" t="str">
        <f ca="1">IFERROR(__xludf.DUMMYFUNCTION("GOOGLETRANSLATE(B220, ""en"", ""es"")"),"Estructura del clan. Una defensa débil para una base.")</f>
        <v>Estructura del clan. Una defensa débil para una base.</v>
      </c>
      <c r="E220" s="23" t="str">
        <f ca="1">IFERROR(__xludf.DUMMYFUNCTION("GOOGLETRANSLATE(B220, ""en"", ""ru"")"),"Клановая структура. Слабая защита для базы.")</f>
        <v>Клановая структура. Слабая защита для базы.</v>
      </c>
      <c r="F220" s="23" t="str">
        <f ca="1">IFERROR(__xludf.DUMMYFUNCTION("GOOGLETRANSLATE(B220, ""en"", ""tr"")"),"Klan yapısı. Bir taban için zayıf bir savunma.")</f>
        <v>Klan yapısı. Bir taban için zayıf bir savunma.</v>
      </c>
      <c r="G220" s="23" t="str">
        <f ca="1">IFERROR(__xludf.DUMMYFUNCTION("GOOGLETRANSLATE(B220, ""en"", ""pt"")"),"Estrutura de clã. Uma defesa fraca para uma base.")</f>
        <v>Estrutura de clã. Uma defesa fraca para uma base.</v>
      </c>
      <c r="H220" s="24" t="str">
        <f ca="1">IFERROR(__xludf.DUMMYFUNCTION("GOOGLETRANSLATE(B220, ""en"", ""de"")"),"Clanstruktur. Eine schwache Verteidigung für eine Basis.")</f>
        <v>Clanstruktur. Eine schwache Verteidigung für eine Basis.</v>
      </c>
      <c r="I220" s="23" t="str">
        <f ca="1">IFERROR(__xludf.DUMMYFUNCTION("GOOGLETRANSLATE(B220, ""en"", ""pl"")"),"Struktura klanu. Słaba obrona dla bazy.")</f>
        <v>Struktura klanu. Słaba obrona dla bazy.</v>
      </c>
      <c r="J220" s="25" t="str">
        <f ca="1">IFERROR(__xludf.DUMMYFUNCTION("GOOGLETRANSLATE(B220, ""en"", ""zh"")"),"氏族结构。一个基地的防守。")</f>
        <v>氏族结构。一个基地的防守。</v>
      </c>
      <c r="K220" s="25" t="str">
        <f ca="1">IFERROR(__xludf.DUMMYFUNCTION("GOOGLETRANSLATE(B220, ""en"", ""vi"")"),"Cấu trúc gia tộc. Một sự bảo vệ yếu cho một căn cứ.")</f>
        <v>Cấu trúc gia tộc. Một sự bảo vệ yếu cho một căn cứ.</v>
      </c>
      <c r="L220" s="26" t="str">
        <f ca="1">IFERROR(__xludf.DUMMYFUNCTION("GOOGLETRANSLATE(B220, ""en"", ""hr"")"),"Struktura klana. Slaba obrana za bazu.")</f>
        <v>Struktura klana. Slaba obrana za bazu.</v>
      </c>
      <c r="M220" s="28"/>
      <c r="N220" s="28"/>
      <c r="O220" s="28"/>
      <c r="P220" s="28"/>
      <c r="Q220" s="28"/>
      <c r="R220" s="28"/>
      <c r="S220" s="28"/>
      <c r="T220" s="28"/>
      <c r="U220" s="28"/>
      <c r="V220" s="28"/>
      <c r="W220" s="28"/>
      <c r="X220" s="28"/>
      <c r="Y220" s="28"/>
      <c r="Z220" s="28"/>
      <c r="AA220" s="28"/>
      <c r="AB220" s="28"/>
    </row>
    <row r="221" spans="1:28" ht="14" x14ac:dyDescent="0.15">
      <c r="A221" s="21" t="s">
        <v>796</v>
      </c>
      <c r="B221" s="22" t="s">
        <v>797</v>
      </c>
      <c r="C221" s="23" t="str">
        <f ca="1">IFERROR(__xludf.DUMMYFUNCTION("GOOGLETRANSLATE(B221, ""en"", ""fr"")"),"Porte de bois")</f>
        <v>Porte de bois</v>
      </c>
      <c r="D221" s="23" t="str">
        <f ca="1">IFERROR(__xludf.DUMMYFUNCTION("GOOGLETRANSLATE(B221, ""en"", ""es"")"),"Puerta de madera")</f>
        <v>Puerta de madera</v>
      </c>
      <c r="E221" s="23" t="str">
        <f ca="1">IFERROR(__xludf.DUMMYFUNCTION("GOOGLETRANSLATE(B221, ""en"", ""ru"")"),"Деревянная дверь")</f>
        <v>Деревянная дверь</v>
      </c>
      <c r="F221" s="23" t="str">
        <f ca="1">IFERROR(__xludf.DUMMYFUNCTION("GOOGLETRANSLATE(B221, ""en"", ""tr"")"),"Tahta kapı")</f>
        <v>Tahta kapı</v>
      </c>
      <c r="G221" s="23" t="str">
        <f ca="1">IFERROR(__xludf.DUMMYFUNCTION("GOOGLETRANSLATE(B221, ""en"", ""pt"")"),"Porta de madeira")</f>
        <v>Porta de madeira</v>
      </c>
      <c r="H221" s="24" t="str">
        <f ca="1">IFERROR(__xludf.DUMMYFUNCTION("GOOGLETRANSLATE(B221, ""en"", ""de"")"),"Holztür")</f>
        <v>Holztür</v>
      </c>
      <c r="I221" s="23" t="str">
        <f ca="1">IFERROR(__xludf.DUMMYFUNCTION("GOOGLETRANSLATE(B221, ""en"", ""pl"")"),"Drewniane drzwi")</f>
        <v>Drewniane drzwi</v>
      </c>
      <c r="J221" s="25" t="str">
        <f ca="1">IFERROR(__xludf.DUMMYFUNCTION("GOOGLETRANSLATE(B221, ""en"", ""zh"")"),"木门")</f>
        <v>木门</v>
      </c>
      <c r="K221" s="25" t="str">
        <f ca="1">IFERROR(__xludf.DUMMYFUNCTION("GOOGLETRANSLATE(B221, ""en"", ""vi"")"),"Cửa gô")</f>
        <v>Cửa gô</v>
      </c>
      <c r="L221" s="26" t="str">
        <f ca="1">IFERROR(__xludf.DUMMYFUNCTION("GOOGLETRANSLATE(B221, ""en"", ""hr"")"),"Drvena vrata")</f>
        <v>Drvena vrata</v>
      </c>
      <c r="M221" s="28"/>
      <c r="N221" s="28"/>
      <c r="O221" s="28"/>
      <c r="P221" s="28"/>
      <c r="Q221" s="28"/>
      <c r="R221" s="28"/>
      <c r="S221" s="28"/>
      <c r="T221" s="28"/>
      <c r="U221" s="28"/>
      <c r="V221" s="28"/>
      <c r="W221" s="28"/>
      <c r="X221" s="28"/>
      <c r="Y221" s="28"/>
      <c r="Z221" s="28"/>
      <c r="AA221" s="28"/>
      <c r="AB221" s="28"/>
    </row>
    <row r="222" spans="1:28" ht="56" x14ac:dyDescent="0.15">
      <c r="A222" s="21" t="s">
        <v>798</v>
      </c>
      <c r="B222" s="22" t="s">
        <v>799</v>
      </c>
      <c r="C222" s="23" t="str">
        <f ca="1">IFERROR(__xludf.DUMMYFUNCTION("GOOGLETRANSLATE(B222, ""en"", ""fr"")"),"Structure du clan. Ne peut être ouvert que par des membres du clan.")</f>
        <v>Structure du clan. Ne peut être ouvert que par des membres du clan.</v>
      </c>
      <c r="D222" s="23" t="str">
        <f ca="1">IFERROR(__xludf.DUMMYFUNCTION("GOOGLETRANSLATE(B222, ""en"", ""es"")"),"Estructura del clan. Solo se puede abrir por miembros del clan.")</f>
        <v>Estructura del clan. Solo se puede abrir por miembros del clan.</v>
      </c>
      <c r="E222" s="23" t="str">
        <f ca="1">IFERROR(__xludf.DUMMYFUNCTION("GOOGLETRANSLATE(B222, ""en"", ""ru"")"),"Клановая структура. Может быть открыт только членами клана.")</f>
        <v>Клановая структура. Может быть открыт только членами клана.</v>
      </c>
      <c r="F222" s="23" t="str">
        <f ca="1">IFERROR(__xludf.DUMMYFUNCTION("GOOGLETRANSLATE(B222, ""en"", ""tr"")"),"Klan yapısı. Sadece klan üyeleri tarafından açılabilir.")</f>
        <v>Klan yapısı. Sadece klan üyeleri tarafından açılabilir.</v>
      </c>
      <c r="G222" s="23" t="str">
        <f ca="1">IFERROR(__xludf.DUMMYFUNCTION("GOOGLETRANSLATE(B222, ""en"", ""pt"")"),"Estrutura de clã. Só pode ser aberto pelos membros do clã.")</f>
        <v>Estrutura de clã. Só pode ser aberto pelos membros do clã.</v>
      </c>
      <c r="H222" s="24" t="str">
        <f ca="1">IFERROR(__xludf.DUMMYFUNCTION("GOOGLETRANSLATE(B222, ""en"", ""de"")"),"Clanstruktur. Kann nur von Clan-Mitgliedern geöffnet werden.")</f>
        <v>Clanstruktur. Kann nur von Clan-Mitgliedern geöffnet werden.</v>
      </c>
      <c r="I222" s="23" t="str">
        <f ca="1">IFERROR(__xludf.DUMMYFUNCTION("GOOGLETRANSLATE(B222, ""en"", ""pl"")"),"Struktura klanu. Można otworzyć tylko przez członków klanu.")</f>
        <v>Struktura klanu. Można otworzyć tylko przez członków klanu.</v>
      </c>
      <c r="J222" s="25" t="str">
        <f ca="1">IFERROR(__xludf.DUMMYFUNCTION("GOOGLETRANSLATE(B222, ""en"", ""zh"")"),"氏族结构。只能由氏族成员开放。")</f>
        <v>氏族结构。只能由氏族成员开放。</v>
      </c>
      <c r="K222" s="25" t="str">
        <f ca="1">IFERROR(__xludf.DUMMYFUNCTION("GOOGLETRANSLATE(B222, ""en"", ""vi"")"),"Cấu trúc gia tộc. Chỉ có thể được mở bởi các thành viên bang hội.")</f>
        <v>Cấu trúc gia tộc. Chỉ có thể được mở bởi các thành viên bang hội.</v>
      </c>
      <c r="L222" s="26" t="str">
        <f ca="1">IFERROR(__xludf.DUMMYFUNCTION("GOOGLETRANSLATE(B222, ""en"", ""hr"")"),"Struktura klana. Mogu otvoriti samo članovi klana.")</f>
        <v>Struktura klana. Mogu otvoriti samo članovi klana.</v>
      </c>
      <c r="M222" s="28"/>
      <c r="N222" s="28"/>
      <c r="O222" s="28"/>
      <c r="P222" s="28"/>
      <c r="Q222" s="28"/>
      <c r="R222" s="28"/>
      <c r="S222" s="28"/>
      <c r="T222" s="28"/>
      <c r="U222" s="28"/>
      <c r="V222" s="28"/>
      <c r="W222" s="28"/>
      <c r="X222" s="28"/>
      <c r="Y222" s="28"/>
      <c r="Z222" s="28"/>
      <c r="AA222" s="28"/>
      <c r="AB222" s="28"/>
    </row>
    <row r="223" spans="1:28" ht="14" x14ac:dyDescent="0.15">
      <c r="A223" s="42" t="s">
        <v>800</v>
      </c>
      <c r="B223" s="22" t="s">
        <v>801</v>
      </c>
      <c r="C223" s="23" t="str">
        <f ca="1">IFERROR(__xludf.DUMMYFUNCTION("GOOGLETRANSLATE(B223, ""en"", ""fr"")"),"Mur de briques")</f>
        <v>Mur de briques</v>
      </c>
      <c r="D223" s="23" t="str">
        <f ca="1">IFERROR(__xludf.DUMMYFUNCTION("GOOGLETRANSLATE(B223, ""en"", ""es"")"),"Pared de ladrillo")</f>
        <v>Pared de ladrillo</v>
      </c>
      <c r="E223" s="23" t="str">
        <f ca="1">IFERROR(__xludf.DUMMYFUNCTION("GOOGLETRANSLATE(B223, ""en"", ""ru"")"),"Кирпичная стена")</f>
        <v>Кирпичная стена</v>
      </c>
      <c r="F223" s="23" t="str">
        <f ca="1">IFERROR(__xludf.DUMMYFUNCTION("GOOGLETRANSLATE(B223, ""en"", ""tr"")"),"Tuğla duvar")</f>
        <v>Tuğla duvar</v>
      </c>
      <c r="G223" s="23" t="str">
        <f ca="1">IFERROR(__xludf.DUMMYFUNCTION("GOOGLETRANSLATE(B223, ""en"", ""pt"")"),"Parede de tijolos")</f>
        <v>Parede de tijolos</v>
      </c>
      <c r="H223" s="24" t="str">
        <f ca="1">IFERROR(__xludf.DUMMYFUNCTION("GOOGLETRANSLATE(B223, ""en"", ""de"")"),"Ziegelwand")</f>
        <v>Ziegelwand</v>
      </c>
      <c r="I223" s="23" t="str">
        <f ca="1">IFERROR(__xludf.DUMMYFUNCTION("GOOGLETRANSLATE(B223, ""en"", ""pl"")"),"Ceglana ściana")</f>
        <v>Ceglana ściana</v>
      </c>
      <c r="J223" s="25" t="str">
        <f ca="1">IFERROR(__xludf.DUMMYFUNCTION("GOOGLETRANSLATE(B223, ""en"", ""zh"")"),"砖墙")</f>
        <v>砖墙</v>
      </c>
      <c r="K223" s="25" t="str">
        <f ca="1">IFERROR(__xludf.DUMMYFUNCTION("GOOGLETRANSLATE(B223, ""en"", ""vi"")"),"Tường gạch")</f>
        <v>Tường gạch</v>
      </c>
      <c r="L223" s="26" t="str">
        <f ca="1">IFERROR(__xludf.DUMMYFUNCTION("GOOGLETRANSLATE(B223, ""en"", ""hr"")"),"Zid od cigli")</f>
        <v>Zid od cigli</v>
      </c>
      <c r="M223" s="28"/>
      <c r="N223" s="28"/>
      <c r="O223" s="28"/>
      <c r="P223" s="28"/>
      <c r="Q223" s="28"/>
      <c r="R223" s="28"/>
      <c r="S223" s="28"/>
      <c r="T223" s="28"/>
      <c r="U223" s="28"/>
      <c r="V223" s="28"/>
      <c r="W223" s="28"/>
      <c r="X223" s="28"/>
      <c r="Y223" s="28"/>
      <c r="Z223" s="28"/>
      <c r="AA223" s="28"/>
      <c r="AB223" s="28"/>
    </row>
    <row r="224" spans="1:28" ht="42" x14ac:dyDescent="0.15">
      <c r="A224" s="42" t="s">
        <v>802</v>
      </c>
      <c r="B224" s="22" t="s">
        <v>803</v>
      </c>
      <c r="C224" s="23" t="str">
        <f ca="1">IFERROR(__xludf.DUMMYFUNCTION("GOOGLETRANSLATE(B224, ""en"", ""fr"")"),"Structure du clan. Une bonne défense pour une base.")</f>
        <v>Structure du clan. Une bonne défense pour une base.</v>
      </c>
      <c r="D224" s="23" t="str">
        <f ca="1">IFERROR(__xludf.DUMMYFUNCTION("GOOGLETRANSLATE(B224, ""en"", ""es"")"),"Estructura del clan. Una buena defensa para una base.")</f>
        <v>Estructura del clan. Una buena defensa para una base.</v>
      </c>
      <c r="E224" s="23" t="str">
        <f ca="1">IFERROR(__xludf.DUMMYFUNCTION("GOOGLETRANSLATE(B224, ""en"", ""ru"")"),"Клановая структура. Хорошая защита для базы.")</f>
        <v>Клановая структура. Хорошая защита для базы.</v>
      </c>
      <c r="F224" s="23" t="str">
        <f ca="1">IFERROR(__xludf.DUMMYFUNCTION("GOOGLETRANSLATE(B224, ""en"", ""tr"")"),"Klan yapısı. Bir taban için iyi bir savunma.")</f>
        <v>Klan yapısı. Bir taban için iyi bir savunma.</v>
      </c>
      <c r="G224" s="23" t="str">
        <f ca="1">IFERROR(__xludf.DUMMYFUNCTION("GOOGLETRANSLATE(B224, ""en"", ""pt"")"),"Estrutura de clã. Uma boa defesa para uma base.")</f>
        <v>Estrutura de clã. Uma boa defesa para uma base.</v>
      </c>
      <c r="H224" s="24" t="str">
        <f ca="1">IFERROR(__xludf.DUMMYFUNCTION("GOOGLETRANSLATE(B224, ""en"", ""de"")"),"Clanstruktur. Eine gute Verteidigung für eine Basis.")</f>
        <v>Clanstruktur. Eine gute Verteidigung für eine Basis.</v>
      </c>
      <c r="I224" s="23" t="str">
        <f ca="1">IFERROR(__xludf.DUMMYFUNCTION("GOOGLETRANSLATE(B224, ""en"", ""pl"")"),"Struktura klanu. Dobra obrona na bazę.")</f>
        <v>Struktura klanu. Dobra obrona na bazę.</v>
      </c>
      <c r="J224" s="25" t="str">
        <f ca="1">IFERROR(__xludf.DUMMYFUNCTION("GOOGLETRANSLATE(B224, ""en"", ""zh"")"),"氏族结构。良好的辩护。")</f>
        <v>氏族结构。良好的辩护。</v>
      </c>
      <c r="K224" s="25" t="str">
        <f ca="1">IFERROR(__xludf.DUMMYFUNCTION("GOOGLETRANSLATE(B224, ""en"", ""vi"")"),"Cấu trúc gia tộc. Một phòng thủ tốt cho một căn cứ.")</f>
        <v>Cấu trúc gia tộc. Một phòng thủ tốt cho một căn cứ.</v>
      </c>
      <c r="L224" s="26" t="str">
        <f ca="1">IFERROR(__xludf.DUMMYFUNCTION("GOOGLETRANSLATE(B224, ""en"", ""hr"")"),"Struktura klana. Dobra obrana za bazu.")</f>
        <v>Struktura klana. Dobra obrana za bazu.</v>
      </c>
      <c r="M224" s="28"/>
      <c r="N224" s="28"/>
      <c r="O224" s="28"/>
      <c r="P224" s="28"/>
      <c r="Q224" s="28"/>
      <c r="R224" s="28"/>
      <c r="S224" s="28"/>
      <c r="T224" s="28"/>
      <c r="U224" s="28"/>
      <c r="V224" s="28"/>
      <c r="W224" s="28"/>
      <c r="X224" s="28"/>
      <c r="Y224" s="28"/>
      <c r="Z224" s="28"/>
      <c r="AA224" s="28"/>
      <c r="AB224" s="28"/>
    </row>
    <row r="225" spans="1:28" ht="14" x14ac:dyDescent="0.15">
      <c r="A225" s="42" t="s">
        <v>804</v>
      </c>
      <c r="B225" s="22" t="s">
        <v>805</v>
      </c>
      <c r="C225" s="23" t="str">
        <f ca="1">IFERROR(__xludf.DUMMYFUNCTION("GOOGLETRANSLATE(B225, ""en"", ""fr"")"),"Porte-brique")</f>
        <v>Porte-brique</v>
      </c>
      <c r="D225" s="23" t="str">
        <f ca="1">IFERROR(__xludf.DUMMYFUNCTION("GOOGLETRANSLATE(B225, ""en"", ""es"")"),"Puerta de ladrillo")</f>
        <v>Puerta de ladrillo</v>
      </c>
      <c r="E225" s="23" t="str">
        <f ca="1">IFERROR(__xludf.DUMMYFUNCTION("GOOGLETRANSLATE(B225, ""en"", ""ru"")"),"Кирпичная дверь")</f>
        <v>Кирпичная дверь</v>
      </c>
      <c r="F225" s="23" t="str">
        <f ca="1">IFERROR(__xludf.DUMMYFUNCTION("GOOGLETRANSLATE(B225, ""en"", ""tr"")"),"Tuğla kapı")</f>
        <v>Tuğla kapı</v>
      </c>
      <c r="G225" s="23" t="str">
        <f ca="1">IFERROR(__xludf.DUMMYFUNCTION("GOOGLETRANSLATE(B225, ""en"", ""pt"")"),"Porta de tijolo")</f>
        <v>Porta de tijolo</v>
      </c>
      <c r="H225" s="24" t="str">
        <f ca="1">IFERROR(__xludf.DUMMYFUNCTION("GOOGLETRANSLATE(B225, ""en"", ""de"")"),"Ziegeltür")</f>
        <v>Ziegeltür</v>
      </c>
      <c r="I225" s="23" t="str">
        <f ca="1">IFERROR(__xludf.DUMMYFUNCTION("GOOGLETRANSLATE(B225, ""en"", ""pl"")"),"Brick Drzwi")</f>
        <v>Brick Drzwi</v>
      </c>
      <c r="J225" s="25" t="str">
        <f ca="1">IFERROR(__xludf.DUMMYFUNCTION("GOOGLETRANSLATE(B225, ""en"", ""zh"")"),"砖门")</f>
        <v>砖门</v>
      </c>
      <c r="K225" s="25" t="str">
        <f ca="1">IFERROR(__xludf.DUMMYFUNCTION("GOOGLETRANSLATE(B225, ""en"", ""vi"")"),"Cửa gạch")</f>
        <v>Cửa gạch</v>
      </c>
      <c r="L225" s="26" t="str">
        <f ca="1">IFERROR(__xludf.DUMMYFUNCTION("GOOGLETRANSLATE(B225, ""en"", ""hr"")"),"Vrata od opeke")</f>
        <v>Vrata od opeke</v>
      </c>
      <c r="M225" s="28"/>
      <c r="N225" s="28"/>
      <c r="O225" s="28"/>
      <c r="P225" s="28"/>
      <c r="Q225" s="28"/>
      <c r="R225" s="28"/>
      <c r="S225" s="28"/>
      <c r="T225" s="28"/>
      <c r="U225" s="28"/>
      <c r="V225" s="28"/>
      <c r="W225" s="28"/>
      <c r="X225" s="28"/>
      <c r="Y225" s="28"/>
      <c r="Z225" s="28"/>
      <c r="AA225" s="28"/>
      <c r="AB225" s="28"/>
    </row>
    <row r="226" spans="1:28" ht="70" x14ac:dyDescent="0.15">
      <c r="A226" s="42" t="s">
        <v>806</v>
      </c>
      <c r="B226" s="22" t="s">
        <v>807</v>
      </c>
      <c r="C226" s="23" t="str">
        <f ca="1">IFERROR(__xludf.DUMMYFUNCTION("GOOGLETRANSLATE(B226, ""en"", ""fr"")"),"Structure du clan. Ne peut être ouvert que par des membres du clan. Plus fort qu'une porte en bois.")</f>
        <v>Structure du clan. Ne peut être ouvert que par des membres du clan. Plus fort qu'une porte en bois.</v>
      </c>
      <c r="D226" s="23" t="str">
        <f ca="1">IFERROR(__xludf.DUMMYFUNCTION("GOOGLETRANSLATE(B226, ""en"", ""es"")"),"Estructura del clan. Solo se puede abrir por miembros del clan. Más fuerte que una puerta de madera.")</f>
        <v>Estructura del clan. Solo se puede abrir por miembros del clan. Más fuerte que una puerta de madera.</v>
      </c>
      <c r="E226" s="23" t="str">
        <f ca="1">IFERROR(__xludf.DUMMYFUNCTION("GOOGLETRANSLATE(B226,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6" s="23" t="str">
        <f ca="1">IFERROR(__xludf.DUMMYFUNCTION("GOOGLETRANSLATE(B226, ""en"", ""tr"")"),"Klan yapısı. Sadece klan üyeleri tarafından açılabilir. Ahşap kapıdan daha güçlü.")</f>
        <v>Klan yapısı. Sadece klan üyeleri tarafından açılabilir. Ahşap kapıdan daha güçlü.</v>
      </c>
      <c r="G226" s="23" t="str">
        <f ca="1">IFERROR(__xludf.DUMMYFUNCTION("GOOGLETRANSLATE(B226, ""en"", ""pt"")"),"Estrutura de clã. Só pode ser aberto pelos membros do clã. Mais forte que uma porta de madeira.")</f>
        <v>Estrutura de clã. Só pode ser aberto pelos membros do clã. Mais forte que uma porta de madeira.</v>
      </c>
      <c r="H226" s="24" t="str">
        <f ca="1">IFERROR(__xludf.DUMMYFUNCTION("GOOGLETRANSLATE(B226, ""en"", ""de"")"),"Clanstruktur. Kann nur von Clan-Mitgliedern geöffnet werden. Stärker als eine Holztür.")</f>
        <v>Clanstruktur. Kann nur von Clan-Mitgliedern geöffnet werden. Stärker als eine Holztür.</v>
      </c>
      <c r="I226" s="23" t="str">
        <f ca="1">IFERROR(__xludf.DUMMYFUNCTION("GOOGLETRANSLATE(B226, ""en"", ""pl"")"),"Struktura klanu. Można otworzyć tylko przez członków klanu. Silniejszy niż drewniane drzwi.")</f>
        <v>Struktura klanu. Można otworzyć tylko przez członków klanu. Silniejszy niż drewniane drzwi.</v>
      </c>
      <c r="J226" s="25" t="str">
        <f ca="1">IFERROR(__xludf.DUMMYFUNCTION("GOOGLETRANSLATE(B226, ""en"", ""zh"")"),"氏族结构。只能由氏族成员开放。比木门更强壮。")</f>
        <v>氏族结构。只能由氏族成员开放。比木门更强壮。</v>
      </c>
      <c r="K226" s="25" t="str">
        <f ca="1">IFERROR(__xludf.DUMMYFUNCTION("GOOGLETRANSLATE(B226, ""en"", ""vi"")"),"Cấu trúc gia tộc. Chỉ có thể được mở bởi các thành viên bang hội. Mạnh hơn một cánh cửa gỗ.")</f>
        <v>Cấu trúc gia tộc. Chỉ có thể được mở bởi các thành viên bang hội. Mạnh hơn một cánh cửa gỗ.</v>
      </c>
      <c r="L226" s="26" t="str">
        <f ca="1">IFERROR(__xludf.DUMMYFUNCTION("GOOGLETRANSLATE(B226, ""en"", ""hr"")"),"Struktura klana. Mogu otvoriti samo članovi klana. Jači od drvenih vrata.")</f>
        <v>Struktura klana. Mogu otvoriti samo članovi klana. Jači od drvenih vrata.</v>
      </c>
      <c r="M226" s="28"/>
      <c r="N226" s="28"/>
      <c r="O226" s="28"/>
      <c r="P226" s="28"/>
      <c r="Q226" s="28"/>
      <c r="R226" s="28"/>
      <c r="S226" s="28"/>
      <c r="T226" s="28"/>
      <c r="U226" s="28"/>
      <c r="V226" s="28"/>
      <c r="W226" s="28"/>
      <c r="X226" s="28"/>
      <c r="Y226" s="28"/>
      <c r="Z226" s="28"/>
      <c r="AA226" s="28"/>
      <c r="AB226" s="28"/>
    </row>
    <row r="227" spans="1:28" ht="14" x14ac:dyDescent="0.15">
      <c r="A227" s="42" t="s">
        <v>808</v>
      </c>
      <c r="B227" s="22" t="s">
        <v>809</v>
      </c>
      <c r="C227" s="23" t="str">
        <f ca="1">IFERROR(__xludf.DUMMYFUNCTION("GOOGLETRANSLATE(B227, ""en"", ""fr"")"),"Mur de fer")</f>
        <v>Mur de fer</v>
      </c>
      <c r="D227" s="23" t="str">
        <f ca="1">IFERROR(__xludf.DUMMYFUNCTION("GOOGLETRANSLATE(B227, ""en"", ""es"")"),"Muro de hierro")</f>
        <v>Muro de hierro</v>
      </c>
      <c r="E227" s="23" t="str">
        <f ca="1">IFERROR(__xludf.DUMMYFUNCTION("GOOGLETRANSLATE(B227, ""en"", ""ru"")"),"Железная стена")</f>
        <v>Железная стена</v>
      </c>
      <c r="F227" s="23" t="str">
        <f ca="1">IFERROR(__xludf.DUMMYFUNCTION("GOOGLETRANSLATE(B227, ""en"", ""tr"")"),"Demir duvar")</f>
        <v>Demir duvar</v>
      </c>
      <c r="G227" s="23" t="str">
        <f ca="1">IFERROR(__xludf.DUMMYFUNCTION("GOOGLETRANSLATE(B227, ""en"", ""pt"")"),"Parede de ferro")</f>
        <v>Parede de ferro</v>
      </c>
      <c r="H227" s="24" t="str">
        <f ca="1">IFERROR(__xludf.DUMMYFUNCTION("GOOGLETRANSLATE(B227, ""en"", ""de"")"),"Eisenwand")</f>
        <v>Eisenwand</v>
      </c>
      <c r="I227" s="23" t="str">
        <f ca="1">IFERROR(__xludf.DUMMYFUNCTION("GOOGLETRANSLATE(B227, ""en"", ""pl"")"),"Żelazna ściana")</f>
        <v>Żelazna ściana</v>
      </c>
      <c r="J227" s="25" t="str">
        <f ca="1">IFERROR(__xludf.DUMMYFUNCTION("GOOGLETRANSLATE(B227, ""en"", ""zh"")"),"铁墙")</f>
        <v>铁墙</v>
      </c>
      <c r="K227" s="25" t="str">
        <f ca="1">IFERROR(__xludf.DUMMYFUNCTION("GOOGLETRANSLATE(B227, ""en"", ""vi"")"),"Bức tường sắt")</f>
        <v>Bức tường sắt</v>
      </c>
      <c r="L227" s="26" t="str">
        <f ca="1">IFERROR(__xludf.DUMMYFUNCTION("GOOGLETRANSLATE(B227, ""en"", ""hr"")"),"Željezni zid")</f>
        <v>Željezni zid</v>
      </c>
      <c r="M227" s="28"/>
      <c r="N227" s="28"/>
      <c r="O227" s="28"/>
      <c r="P227" s="28"/>
      <c r="Q227" s="28"/>
      <c r="R227" s="28"/>
      <c r="S227" s="28"/>
      <c r="T227" s="28"/>
      <c r="U227" s="28"/>
      <c r="V227" s="28"/>
      <c r="W227" s="28"/>
      <c r="X227" s="28"/>
      <c r="Y227" s="28"/>
      <c r="Z227" s="28"/>
      <c r="AA227" s="28"/>
      <c r="AB227" s="28"/>
    </row>
    <row r="228" spans="1:28" ht="42" x14ac:dyDescent="0.15">
      <c r="A228" s="42" t="s">
        <v>810</v>
      </c>
      <c r="B228" s="22" t="s">
        <v>811</v>
      </c>
      <c r="C228" s="23" t="str">
        <f ca="1">IFERROR(__xludf.DUMMYFUNCTION("GOOGLETRANSLATE(B228, ""en"", ""fr"")"),"Structure du clan. Une grande défense pour une base.")</f>
        <v>Structure du clan. Une grande défense pour une base.</v>
      </c>
      <c r="D228" s="23" t="str">
        <f ca="1">IFERROR(__xludf.DUMMYFUNCTION("GOOGLETRANSLATE(B228, ""en"", ""es"")"),"Estructura del clan. Una gran defensa para una base.")</f>
        <v>Estructura del clan. Una gran defensa para una base.</v>
      </c>
      <c r="E228" s="23" t="str">
        <f ca="1">IFERROR(__xludf.DUMMYFUNCTION("GOOGLETRANSLATE(B228, ""en"", ""ru"")"),"Клановая структура. Великая защита для базы.")</f>
        <v>Клановая структура. Великая защита для базы.</v>
      </c>
      <c r="F228" s="23" t="str">
        <f ca="1">IFERROR(__xludf.DUMMYFUNCTION("GOOGLETRANSLATE(B228, ""en"", ""tr"")"),"Klan yapısı. Bir taban için büyük bir savunma.")</f>
        <v>Klan yapısı. Bir taban için büyük bir savunma.</v>
      </c>
      <c r="G228" s="23" t="str">
        <f ca="1">IFERROR(__xludf.DUMMYFUNCTION("GOOGLETRANSLATE(B228, ""en"", ""pt"")"),"Estrutura de clã. Uma grande defesa para uma base.")</f>
        <v>Estrutura de clã. Uma grande defesa para uma base.</v>
      </c>
      <c r="H228" s="24" t="str">
        <f ca="1">IFERROR(__xludf.DUMMYFUNCTION("GOOGLETRANSLATE(B228, ""en"", ""de"")"),"Clanstruktur. Eine große Verteidigung für eine Basis.")</f>
        <v>Clanstruktur. Eine große Verteidigung für eine Basis.</v>
      </c>
      <c r="I228" s="23" t="str">
        <f ca="1">IFERROR(__xludf.DUMMYFUNCTION("GOOGLETRANSLATE(B228, ""en"", ""pl"")"),"Struktura klanu. Wielka obrona na bazę.")</f>
        <v>Struktura klanu. Wielka obrona na bazę.</v>
      </c>
      <c r="J228" s="25" t="str">
        <f ca="1">IFERROR(__xludf.DUMMYFUNCTION("GOOGLETRANSLATE(B228, ""en"", ""zh"")"),"氏族结构。对基地的伟大辩护。")</f>
        <v>氏族结构。对基地的伟大辩护。</v>
      </c>
      <c r="K228" s="25" t="str">
        <f ca="1">IFERROR(__xludf.DUMMYFUNCTION("GOOGLETRANSLATE(B228, ""en"", ""vi"")"),"Cấu trúc gia tộc. Một sự bảo vệ tuyệt vời cho một căn cứ.")</f>
        <v>Cấu trúc gia tộc. Một sự bảo vệ tuyệt vời cho một căn cứ.</v>
      </c>
      <c r="L228" s="26" t="str">
        <f ca="1">IFERROR(__xludf.DUMMYFUNCTION("GOOGLETRANSLATE(B228, ""en"", ""hr"")"),"Struktura klana. Velika obrana za bazu.")</f>
        <v>Struktura klana. Velika obrana za bazu.</v>
      </c>
      <c r="M228" s="28"/>
      <c r="N228" s="28"/>
      <c r="O228" s="28"/>
      <c r="P228" s="28"/>
      <c r="Q228" s="28"/>
      <c r="R228" s="28"/>
      <c r="S228" s="28"/>
      <c r="T228" s="28"/>
      <c r="U228" s="28"/>
      <c r="V228" s="28"/>
      <c r="W228" s="28"/>
      <c r="X228" s="28"/>
      <c r="Y228" s="28"/>
      <c r="Z228" s="28"/>
      <c r="AA228" s="28"/>
      <c r="AB228" s="28"/>
    </row>
    <row r="229" spans="1:28" ht="14" x14ac:dyDescent="0.15">
      <c r="A229" s="42" t="s">
        <v>812</v>
      </c>
      <c r="B229" s="22" t="s">
        <v>813</v>
      </c>
      <c r="C229" s="23" t="str">
        <f ca="1">IFERROR(__xludf.DUMMYFUNCTION("GOOGLETRANSLATE(B229, ""en"", ""fr"")"),"Porte en fer")</f>
        <v>Porte en fer</v>
      </c>
      <c r="D229" s="23" t="str">
        <f ca="1">IFERROR(__xludf.DUMMYFUNCTION("GOOGLETRANSLATE(B229, ""en"", ""es"")"),"Puerta de Hierro")</f>
        <v>Puerta de Hierro</v>
      </c>
      <c r="E229" s="23" t="str">
        <f ca="1">IFERROR(__xludf.DUMMYFUNCTION("GOOGLETRANSLATE(B229, ""en"", ""ru"")"),"Железная дверь")</f>
        <v>Железная дверь</v>
      </c>
      <c r="F229" s="23" t="str">
        <f ca="1">IFERROR(__xludf.DUMMYFUNCTION("GOOGLETRANSLATE(B229, ""en"", ""tr"")"),"Demir kapı")</f>
        <v>Demir kapı</v>
      </c>
      <c r="G229" s="23" t="str">
        <f ca="1">IFERROR(__xludf.DUMMYFUNCTION("GOOGLETRANSLATE(B229, ""en"", ""pt"")"),"Porta de ferro")</f>
        <v>Porta de ferro</v>
      </c>
      <c r="H229" s="24" t="str">
        <f ca="1">IFERROR(__xludf.DUMMYFUNCTION("GOOGLETRANSLATE(B229, ""en"", ""de"")"),"Eiserne Tür")</f>
        <v>Eiserne Tür</v>
      </c>
      <c r="I229" s="23" t="str">
        <f ca="1">IFERROR(__xludf.DUMMYFUNCTION("GOOGLETRANSLATE(B229, ""en"", ""pl"")"),"Żelazne drzwi")</f>
        <v>Żelazne drzwi</v>
      </c>
      <c r="J229" s="25" t="str">
        <f ca="1">IFERROR(__xludf.DUMMYFUNCTION("GOOGLETRANSLATE(B229, ""en"", ""zh"")"),"铁门")</f>
        <v>铁门</v>
      </c>
      <c r="K229" s="25" t="str">
        <f ca="1">IFERROR(__xludf.DUMMYFUNCTION("GOOGLETRANSLATE(B229, ""en"", ""vi"")"),"Cửa sắt")</f>
        <v>Cửa sắt</v>
      </c>
      <c r="L229" s="26" t="str">
        <f ca="1">IFERROR(__xludf.DUMMYFUNCTION("GOOGLETRANSLATE(B229, ""en"", ""hr"")"),"Željezna vrata")</f>
        <v>Željezna vrata</v>
      </c>
      <c r="M229" s="28"/>
      <c r="N229" s="28"/>
      <c r="O229" s="28"/>
      <c r="P229" s="28"/>
      <c r="Q229" s="28"/>
      <c r="R229" s="28"/>
      <c r="S229" s="28"/>
      <c r="T229" s="28"/>
      <c r="U229" s="28"/>
      <c r="V229" s="28"/>
      <c r="W229" s="28"/>
      <c r="X229" s="28"/>
      <c r="Y229" s="28"/>
      <c r="Z229" s="28"/>
      <c r="AA229" s="28"/>
      <c r="AB229" s="28"/>
    </row>
    <row r="230" spans="1:28" ht="70" x14ac:dyDescent="0.15">
      <c r="A230" s="42" t="s">
        <v>814</v>
      </c>
      <c r="B230" s="22" t="s">
        <v>815</v>
      </c>
      <c r="C230" s="23" t="str">
        <f ca="1">IFERROR(__xludf.DUMMYFUNCTION("GOOGLETRANSLATE(B230, ""en"", ""fr"")"),"Structure du clan. Ne peut être ouvert que par des membres du clan. Plus fort qu'une porte en briques.")</f>
        <v>Structure du clan. Ne peut être ouvert que par des membres du clan. Plus fort qu'une porte en briques.</v>
      </c>
      <c r="D230" s="23" t="str">
        <f ca="1">IFERROR(__xludf.DUMMYFUNCTION("GOOGLETRANSLATE(B230, ""en"", ""es"")"),"Estructura del clan. Solo se puede abrir por miembros del clan. Más fuerte que una puerta de ladrillo.")</f>
        <v>Estructura del clan. Solo se puede abrir por miembros del clan. Más fuerte que una puerta de ladrillo.</v>
      </c>
      <c r="E230" s="23" t="str">
        <f ca="1">IFERROR(__xludf.DUMMYFUNCTION("GOOGLETRANSLATE(B230,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30" s="23" t="str">
        <f ca="1">IFERROR(__xludf.DUMMYFUNCTION("GOOGLETRANSLATE(B230, ""en"", ""tr"")"),"Klan yapısı. Sadece klan üyeleri tarafından açılabilir. Bir tuğla kaptan daha güçlü.")</f>
        <v>Klan yapısı. Sadece klan üyeleri tarafından açılabilir. Bir tuğla kaptan daha güçlü.</v>
      </c>
      <c r="G230" s="23" t="str">
        <f ca="1">IFERROR(__xludf.DUMMYFUNCTION("GOOGLETRANSLATE(B230, ""en"", ""pt"")"),"Estrutura de clã. Só pode ser aberto pelos membros do clã. Mais forte que uma porta de tijolo.")</f>
        <v>Estrutura de clã. Só pode ser aberto pelos membros do clã. Mais forte que uma porta de tijolo.</v>
      </c>
      <c r="H230" s="24" t="str">
        <f ca="1">IFERROR(__xludf.DUMMYFUNCTION("GOOGLETRANSLATE(B230, ""en"", ""de"")"),"Clanstruktur. Kann nur von Clan-Mitgliedern geöffnet werden. Stärker als eine Backsteintür.")</f>
        <v>Clanstruktur. Kann nur von Clan-Mitgliedern geöffnet werden. Stärker als eine Backsteintür.</v>
      </c>
      <c r="I230" s="23" t="str">
        <f ca="1">IFERROR(__xludf.DUMMYFUNCTION("GOOGLETRANSLATE(B230, ""en"", ""pl"")"),"Struktura klanu. Można otworzyć tylko przez członków klanu. Silniejszy niż ceglane drzwi.")</f>
        <v>Struktura klanu. Można otworzyć tylko przez członków klanu. Silniejszy niż ceglane drzwi.</v>
      </c>
      <c r="J230" s="25" t="str">
        <f ca="1">IFERROR(__xludf.DUMMYFUNCTION("GOOGLETRANSLATE(B230, ""en"", ""zh"")"),"氏族结构。只能由氏族成员开放。比砖头更强壮。")</f>
        <v>氏族结构。只能由氏族成员开放。比砖头更强壮。</v>
      </c>
      <c r="K230" s="25" t="str">
        <f ca="1">IFERROR(__xludf.DUMMYFUNCTION("GOOGLETRANSLATE(B230, ""en"", ""vi"")"),"Cấu trúc gia tộc. Chỉ có thể được mở bởi các thành viên bang hội. Mạnh hơn một cánh cửa gạch.")</f>
        <v>Cấu trúc gia tộc. Chỉ có thể được mở bởi các thành viên bang hội. Mạnh hơn một cánh cửa gạch.</v>
      </c>
      <c r="L230" s="26" t="str">
        <f ca="1">IFERROR(__xludf.DUMMYFUNCTION("GOOGLETRANSLATE(B230, ""en"", ""hr"")"),"Struktura klana. Mogu otvoriti samo članovi klana. Jača od vrata od opeke.")</f>
        <v>Struktura klana. Mogu otvoriti samo članovi klana. Jača od vrata od opeke.</v>
      </c>
      <c r="M230" s="28"/>
      <c r="N230" s="28"/>
      <c r="O230" s="28"/>
      <c r="P230" s="28"/>
      <c r="Q230" s="28"/>
      <c r="R230" s="28"/>
      <c r="S230" s="28"/>
      <c r="T230" s="28"/>
      <c r="U230" s="28"/>
      <c r="V230" s="28"/>
      <c r="W230" s="28"/>
      <c r="X230" s="28"/>
      <c r="Y230" s="28"/>
      <c r="Z230" s="28"/>
      <c r="AA230" s="28"/>
      <c r="AB230" s="28"/>
    </row>
    <row r="231" spans="1:28" ht="14" x14ac:dyDescent="0.15">
      <c r="A231" s="21" t="s">
        <v>816</v>
      </c>
      <c r="B231" s="22" t="s">
        <v>817</v>
      </c>
      <c r="C231" s="23" t="str">
        <f ca="1">IFERROR(__xludf.DUMMYFUNCTION("GOOGLETRANSLATE(B231, ""en"", ""fr"")"),"Coffre bancaire")</f>
        <v>Coffre bancaire</v>
      </c>
      <c r="D231" s="23" t="str">
        <f ca="1">IFERROR(__xludf.DUMMYFUNCTION("GOOGLETRANSLATE(B231, ""en"", ""es"")"),"Cofre bancario")</f>
        <v>Cofre bancario</v>
      </c>
      <c r="E231" s="23" t="str">
        <f ca="1">IFERROR(__xludf.DUMMYFUNCTION("GOOGLETRANSLATE(B231, ""en"", ""ru"")"),"Банковский сундук")</f>
        <v>Банковский сундук</v>
      </c>
      <c r="F231" s="23" t="str">
        <f ca="1">IFERROR(__xludf.DUMMYFUNCTION("GOOGLETRANSLATE(B231, ""en"", ""tr"")"),"Banka göğsü")</f>
        <v>Banka göğsü</v>
      </c>
      <c r="G231" s="23" t="str">
        <f ca="1">IFERROR(__xludf.DUMMYFUNCTION("GOOGLETRANSLATE(B231, ""en"", ""pt"")"),"Baú de banco")</f>
        <v>Baú de banco</v>
      </c>
      <c r="H231" s="24" t="str">
        <f ca="1">IFERROR(__xludf.DUMMYFUNCTION("GOOGLETRANSLATE(B231, ""en"", ""de"")"),"Bankkasten")</f>
        <v>Bankkasten</v>
      </c>
      <c r="I231" s="23" t="str">
        <f ca="1">IFERROR(__xludf.DUMMYFUNCTION("GOOGLETRANSLATE(B231, ""en"", ""pl"")"),"Skrzynia bankowa")</f>
        <v>Skrzynia bankowa</v>
      </c>
      <c r="J231" s="25" t="str">
        <f ca="1">IFERROR(__xludf.DUMMYFUNCTION("GOOGLETRANSLATE(B231, ""en"", ""zh"")"),"银行胸部")</f>
        <v>银行胸部</v>
      </c>
      <c r="K231" s="25" t="str">
        <f ca="1">IFERROR(__xludf.DUMMYFUNCTION("GOOGLETRANSLATE(B231, ""en"", ""vi"")"),"Ngực ngân hàng.")</f>
        <v>Ngực ngân hàng.</v>
      </c>
      <c r="L231" s="26" t="str">
        <f ca="1">IFERROR(__xludf.DUMMYFUNCTION("GOOGLETRANSLATE(B231, ""en"", ""hr"")"),"Banke")</f>
        <v>Banke</v>
      </c>
      <c r="M231" s="28"/>
      <c r="N231" s="28"/>
      <c r="O231" s="28"/>
      <c r="P231" s="28"/>
      <c r="Q231" s="28"/>
      <c r="R231" s="28"/>
      <c r="S231" s="28"/>
      <c r="T231" s="28"/>
      <c r="U231" s="28"/>
      <c r="V231" s="28"/>
      <c r="W231" s="28"/>
      <c r="X231" s="28"/>
      <c r="Y231" s="28"/>
      <c r="Z231" s="28"/>
      <c r="AA231" s="28"/>
      <c r="AB231" s="28"/>
    </row>
    <row r="232" spans="1:28" ht="70" x14ac:dyDescent="0.15">
      <c r="A232" s="21" t="s">
        <v>818</v>
      </c>
      <c r="B232" s="22" t="s">
        <v>819</v>
      </c>
      <c r="C232" s="23" t="str">
        <f ca="1">IFERROR(__xludf.DUMMYFUNCTION("GOOGLETRANSLATE(B232, ""en"", ""fr"")"),"Structure du clan. Donne accès à votre stockage bancaire personnel.")</f>
        <v>Structure du clan. Donne accès à votre stockage bancaire personnel.</v>
      </c>
      <c r="D232" s="23" t="str">
        <f ca="1">IFERROR(__xludf.DUMMYFUNCTION("GOOGLETRANSLATE(B232, ""en"", ""es"")"),"Estructura del clan. Da acceso a su almacenamiento de bancos personales.")</f>
        <v>Estructura del clan. Da acceso a su almacenamiento de bancos personales.</v>
      </c>
      <c r="E232" s="23" t="str">
        <f ca="1">IFERROR(__xludf.DUMMYFUNCTION("GOOGLETRANSLATE(B232, ""en"", ""ru"")"),"Клановая структура. Дает доступ к вашему личному банке хранилище.")</f>
        <v>Клановая структура. Дает доступ к вашему личному банке хранилище.</v>
      </c>
      <c r="F232" s="23" t="str">
        <f ca="1">IFERROR(__xludf.DUMMYFUNCTION("GOOGLETRANSLATE(B232, ""en"", ""tr"")"),"Klan yapısı. Kişisel banka deposuna erişim sağlar.")</f>
        <v>Klan yapısı. Kişisel banka deposuna erişim sağlar.</v>
      </c>
      <c r="G232" s="23" t="str">
        <f ca="1">IFERROR(__xludf.DUMMYFUNCTION("GOOGLETRANSLATE(B232, ""en"", ""pt"")"),"Estrutura de clã. Dá acesso ao seu armazenamento pessoal do banco.")</f>
        <v>Estrutura de clã. Dá acesso ao seu armazenamento pessoal do banco.</v>
      </c>
      <c r="H232" s="24" t="str">
        <f ca="1">IFERROR(__xludf.DUMMYFUNCTION("GOOGLETRANSLATE(B232, ""en"", ""de"")"),"Clanstruktur. Erläutert Zugriff auf Ihren persönlichen Bankenspeicher.")</f>
        <v>Clanstruktur. Erläutert Zugriff auf Ihren persönlichen Bankenspeicher.</v>
      </c>
      <c r="I232" s="23" t="str">
        <f ca="1">IFERROR(__xludf.DUMMYFUNCTION("GOOGLETRANSLATE(B232, ""en"", ""pl"")"),"Struktura klanu. Zapewnia dostęp do osobistego przechowywania banków.")</f>
        <v>Struktura klanu. Zapewnia dostęp do osobistego przechowywania banków.</v>
      </c>
      <c r="J232" s="25" t="str">
        <f ca="1">IFERROR(__xludf.DUMMYFUNCTION("GOOGLETRANSLATE(B232, ""en"", ""zh"")"),"氏族结构。访问您的个人银行存储。")</f>
        <v>氏族结构。访问您的个人银行存储。</v>
      </c>
      <c r="K232" s="25" t="str">
        <f ca="1">IFERROR(__xludf.DUMMYFUNCTION("GOOGLETRANSLATE(B232, ""en"", ""vi"")"),"Cấu trúc gia tộc. Cung cấp quyền truy cập vào lưu trữ ngân hàng cá nhân của bạn.")</f>
        <v>Cấu trúc gia tộc. Cung cấp quyền truy cập vào lưu trữ ngân hàng cá nhân của bạn.</v>
      </c>
      <c r="L232" s="26" t="str">
        <f ca="1">IFERROR(__xludf.DUMMYFUNCTION("GOOGLETRANSLATE(B232, ""en"", ""hr"")"),"Struktura klana. Daje pristup vašem osobnom bankovnom spremištu.")</f>
        <v>Struktura klana. Daje pristup vašem osobnom bankovnom spremištu.</v>
      </c>
      <c r="M232" s="28"/>
      <c r="N232" s="28"/>
      <c r="O232" s="28"/>
      <c r="P232" s="28"/>
      <c r="Q232" s="28"/>
      <c r="R232" s="28"/>
      <c r="S232" s="28"/>
      <c r="T232" s="28"/>
      <c r="U232" s="28"/>
      <c r="V232" s="28"/>
      <c r="W232" s="28"/>
      <c r="X232" s="28"/>
      <c r="Y232" s="28"/>
      <c r="Z232" s="28"/>
      <c r="AA232" s="28"/>
      <c r="AB232" s="28"/>
    </row>
    <row r="233" spans="1:28" ht="14" x14ac:dyDescent="0.15">
      <c r="A233" s="21" t="s">
        <v>820</v>
      </c>
      <c r="B233" s="22" t="s">
        <v>378</v>
      </c>
      <c r="C233" s="23" t="str">
        <f ca="1">IFERROR(__xludf.DUMMYFUNCTION("GOOGLETRANSLATE(B233, ""en"", ""fr"")"),"Table de travail")</f>
        <v>Table de travail</v>
      </c>
      <c r="D233" s="23" t="str">
        <f ca="1">IFERROR(__xludf.DUMMYFUNCTION("GOOGLETRANSLATE(B233, ""en"", ""es"")"),"Banco de trabajo")</f>
        <v>Banco de trabajo</v>
      </c>
      <c r="E233" s="23" t="str">
        <f ca="1">IFERROR(__xludf.DUMMYFUNCTION("GOOGLETRANSLATE(B233, ""en"", ""ru"")"),"Workbench.")</f>
        <v>Workbench.</v>
      </c>
      <c r="F233" s="23" t="str">
        <f ca="1">IFERROR(__xludf.DUMMYFUNCTION("GOOGLETRANSLATE(B233, ""en"", ""tr"")"),"Tezgâh")</f>
        <v>Tezgâh</v>
      </c>
      <c r="G233" s="23" t="str">
        <f ca="1">IFERROR(__xludf.DUMMYFUNCTION("GOOGLETRANSLATE(B233, ""en"", ""pt"")"),"Workbench")</f>
        <v>Workbench</v>
      </c>
      <c r="H233" s="24" t="str">
        <f ca="1">IFERROR(__xludf.DUMMYFUNCTION("GOOGLETRANSLATE(B233, ""en"", ""de"")"),"Werkbank")</f>
        <v>Werkbank</v>
      </c>
      <c r="I233" s="23" t="str">
        <f ca="1">IFERROR(__xludf.DUMMYFUNCTION("GOOGLETRANSLATE(B233, ""en"", ""pl"")"),"stoł warsztatowy")</f>
        <v>stoł warsztatowy</v>
      </c>
      <c r="J233" s="25" t="str">
        <f ca="1">IFERROR(__xludf.DUMMYFUNCTION("GOOGLETRANSLATE(B233, ""en"", ""zh"")"),"工作台")</f>
        <v>工作台</v>
      </c>
      <c r="K233" s="25" t="str">
        <f ca="1">IFERROR(__xludf.DUMMYFUNCTION("GOOGLETRANSLATE(B233, ""en"", ""vi"")"),"Workbench.")</f>
        <v>Workbench.</v>
      </c>
      <c r="L233" s="26" t="str">
        <f ca="1">IFERROR(__xludf.DUMMYFUNCTION("GOOGLETRANSLATE(B233, ""en"", ""hr"")"),"Radni stol")</f>
        <v>Radni stol</v>
      </c>
      <c r="M233" s="28"/>
      <c r="N233" s="28"/>
      <c r="O233" s="28"/>
      <c r="P233" s="28"/>
      <c r="Q233" s="28"/>
      <c r="R233" s="28"/>
      <c r="S233" s="28"/>
      <c r="T233" s="28"/>
      <c r="U233" s="28"/>
      <c r="V233" s="28"/>
      <c r="W233" s="28"/>
      <c r="X233" s="28"/>
      <c r="Y233" s="28"/>
      <c r="Z233" s="28"/>
      <c r="AA233" s="28"/>
      <c r="AB233" s="28"/>
    </row>
    <row r="234" spans="1:28" ht="56" x14ac:dyDescent="0.15">
      <c r="A234" s="21" t="s">
        <v>821</v>
      </c>
      <c r="B234" s="22" t="s">
        <v>822</v>
      </c>
      <c r="C234" s="23" t="str">
        <f ca="1">IFERROR(__xludf.DUMMYFUNCTION("GOOGLETRANSLATE(B234, ""en"", ""fr"")"),"Structure du clan. Utilisé pour fabriquer divers articles.")</f>
        <v>Structure du clan. Utilisé pour fabriquer divers articles.</v>
      </c>
      <c r="D234" s="23" t="str">
        <f ca="1">IFERROR(__xludf.DUMMYFUNCTION("GOOGLETRANSLATE(B234, ""en"", ""es"")"),"Estructura del clan. Se utiliza para crear varios artículos.")</f>
        <v>Estructura del clan. Se utiliza para crear varios artículos.</v>
      </c>
      <c r="E234" s="23" t="str">
        <f ca="1">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 ca="1">IFERROR(__xludf.DUMMYFUNCTION("GOOGLETRANSLATE(B234, ""en"", ""tr"")"),"Klan yapısı. Çeşitli eşyaları hazırlamak için kullanılır.")</f>
        <v>Klan yapısı. Çeşitli eşyaları hazırlamak için kullanılır.</v>
      </c>
      <c r="G234" s="23" t="str">
        <f ca="1">IFERROR(__xludf.DUMMYFUNCTION("GOOGLETRANSLATE(B234, ""en"", ""pt"")"),"Estrutura de clã. Usado para criar vários itens.")</f>
        <v>Estrutura de clã. Usado para criar vários itens.</v>
      </c>
      <c r="H234" s="24" t="str">
        <f ca="1">IFERROR(__xludf.DUMMYFUNCTION("GOOGLETRANSLATE(B234, ""en"", ""de"")"),"Clanstruktur. Zum Herstellen verschiedener Gegenstände.")</f>
        <v>Clanstruktur. Zum Herstellen verschiedener Gegenstände.</v>
      </c>
      <c r="I234" s="23" t="str">
        <f ca="1">IFERROR(__xludf.DUMMYFUNCTION("GOOGLETRANSLATE(B234, ""en"", ""pl"")"),"Struktura klanu. Używane do rzemiosła różnych przedmiotów.")</f>
        <v>Struktura klanu. Używane do rzemiosła różnych przedmiotów.</v>
      </c>
      <c r="J234" s="25" t="str">
        <f ca="1">IFERROR(__xludf.DUMMYFUNCTION("GOOGLETRANSLATE(B234, ""en"", ""zh"")"),"氏族结构。用来制作各种物品。")</f>
        <v>氏族结构。用来制作各种物品。</v>
      </c>
      <c r="K234" s="25" t="str">
        <f ca="1">IFERROR(__xludf.DUMMYFUNCTION("GOOGLETRANSLATE(B234, ""en"", ""vi"")"),"Cấu trúc gia tộc. Được sử dụng để chế tạo các mặt hàng khác nhau.")</f>
        <v>Cấu trúc gia tộc. Được sử dụng để chế tạo các mặt hàng khác nhau.</v>
      </c>
      <c r="L234" s="26" t="str">
        <f ca="1">IFERROR(__xludf.DUMMYFUNCTION("GOOGLETRANSLATE(B234, ""en"", ""hr"")"),"Struktura klana. Koristi se za izradu raznih predmeta.")</f>
        <v>Struktura klana. Koristi se za izradu raznih predmeta.</v>
      </c>
      <c r="M234" s="28"/>
      <c r="N234" s="28"/>
      <c r="O234" s="28"/>
      <c r="P234" s="28"/>
      <c r="Q234" s="28"/>
      <c r="R234" s="28"/>
      <c r="S234" s="28"/>
      <c r="T234" s="28"/>
      <c r="U234" s="28"/>
      <c r="V234" s="28"/>
      <c r="W234" s="28"/>
      <c r="X234" s="28"/>
      <c r="Y234" s="28"/>
      <c r="Z234" s="28"/>
      <c r="AA234" s="28"/>
      <c r="AB234" s="28"/>
    </row>
    <row r="235" spans="1:28" ht="14" x14ac:dyDescent="0.15">
      <c r="A235" s="21" t="s">
        <v>823</v>
      </c>
      <c r="B235" s="22" t="s">
        <v>376</v>
      </c>
      <c r="C235" s="23" t="str">
        <f ca="1">IFERROR(__xludf.DUMMYFUNCTION("GOOGLETRANSLATE(B235, ""en"", ""fr"")"),"fourneau")</f>
        <v>fourneau</v>
      </c>
      <c r="D235" s="23" t="str">
        <f ca="1">IFERROR(__xludf.DUMMYFUNCTION("GOOGLETRANSLATE(B235, ""en"", ""es"")"),"Horno")</f>
        <v>Horno</v>
      </c>
      <c r="E235" s="23" t="str">
        <f ca="1">IFERROR(__xludf.DUMMYFUNCTION("GOOGLETRANSLATE(B235, ""en"", ""ru"")"),"Печь")</f>
        <v>Печь</v>
      </c>
      <c r="F235" s="23" t="str">
        <f ca="1">IFERROR(__xludf.DUMMYFUNCTION("GOOGLETRANSLATE(B235, ""en"", ""tr"")"),"Fırın")</f>
        <v>Fırın</v>
      </c>
      <c r="G235" s="23" t="str">
        <f ca="1">IFERROR(__xludf.DUMMYFUNCTION("GOOGLETRANSLATE(B235, ""en"", ""pt"")"),"Forno")</f>
        <v>Forno</v>
      </c>
      <c r="H235" s="24" t="str">
        <f ca="1">IFERROR(__xludf.DUMMYFUNCTION("GOOGLETRANSLATE(B235, ""en"", ""de"")"),"Ofen")</f>
        <v>Ofen</v>
      </c>
      <c r="I235" s="23" t="str">
        <f ca="1">IFERROR(__xludf.DUMMYFUNCTION("GOOGLETRANSLATE(B235, ""en"", ""pl"")"),"Piec")</f>
        <v>Piec</v>
      </c>
      <c r="J235" s="25" t="str">
        <f ca="1">IFERROR(__xludf.DUMMYFUNCTION("GOOGLETRANSLATE(B235, ""en"", ""zh"")"),"炉")</f>
        <v>炉</v>
      </c>
      <c r="K235" s="25" t="str">
        <f ca="1">IFERROR(__xludf.DUMMYFUNCTION("GOOGLETRANSLATE(B235, ""en"", ""vi"")"),"Lò lửa")</f>
        <v>Lò lửa</v>
      </c>
      <c r="L235" s="26" t="str">
        <f ca="1">IFERROR(__xludf.DUMMYFUNCTION("GOOGLETRANSLATE(B235, ""en"", ""hr"")"),"Peć")</f>
        <v>Peć</v>
      </c>
      <c r="M235" s="28"/>
      <c r="N235" s="28"/>
      <c r="O235" s="28"/>
      <c r="P235" s="28"/>
      <c r="Q235" s="28"/>
      <c r="R235" s="28"/>
      <c r="S235" s="28"/>
      <c r="T235" s="28"/>
      <c r="U235" s="28"/>
      <c r="V235" s="28"/>
      <c r="W235" s="28"/>
      <c r="X235" s="28"/>
      <c r="Y235" s="28"/>
      <c r="Z235" s="28"/>
      <c r="AA235" s="28"/>
      <c r="AB235" s="28"/>
    </row>
    <row r="236" spans="1:28" ht="70" x14ac:dyDescent="0.15">
      <c r="A236" s="21" t="s">
        <v>824</v>
      </c>
      <c r="B236" s="22" t="s">
        <v>825</v>
      </c>
      <c r="C236" s="23" t="str">
        <f ca="1">IFERROR(__xludf.DUMMYFUNCTION("GOOGLETRANSLATE(B236, ""en"", ""fr"")"),"Structure du clan. Utilisé pour transformer les minerais en barres métalliques.")</f>
        <v>Structure du clan. Utilisé pour transformer les minerais en barres métalliques.</v>
      </c>
      <c r="D236" s="23" t="str">
        <f ca="1">IFERROR(__xludf.DUMMYFUNCTION("GOOGLETRANSLATE(B236, ""en"", ""es"")"),"Estructura del clan. Se utiliza para convertir minerales en barras de metal.")</f>
        <v>Estructura del clan. Se utiliza para convertir minerales en barras de metal.</v>
      </c>
      <c r="E236" s="23" t="str">
        <f ca="1">IFERROR(__xludf.DUMMYFUNCTION("GOOGLETRANSLATE(B236,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6" s="23" t="str">
        <f ca="1">IFERROR(__xludf.DUMMYFUNCTION("GOOGLETRANSLATE(B236, ""en"", ""tr"")"),"Klan yapısı. Oraları metal çubuklara dönüştürmek için kullanılır.")</f>
        <v>Klan yapısı. Oraları metal çubuklara dönüştürmek için kullanılır.</v>
      </c>
      <c r="G236" s="23" t="str">
        <f ca="1">IFERROR(__xludf.DUMMYFUNCTION("GOOGLETRANSLATE(B236, ""en"", ""pt"")"),"Estrutura de clã. Usado para virar os minérios em barras de metal.")</f>
        <v>Estrutura de clã. Usado para virar os minérios em barras de metal.</v>
      </c>
      <c r="H236" s="24" t="str">
        <f ca="1">IFERROR(__xludf.DUMMYFUNCTION("GOOGLETRANSLATE(B236, ""en"", ""de"")"),"Clanstruktur. Verwendet, um Erze in Metallstäbe zu drehen.")</f>
        <v>Clanstruktur. Verwendet, um Erze in Metallstäbe zu drehen.</v>
      </c>
      <c r="I236" s="23" t="str">
        <f ca="1">IFERROR(__xludf.DUMMYFUNCTION("GOOGLETRANSLATE(B236, ""en"", ""pl"")"),"Struktura klanu. Używany do obracania rud do metalowych prętów.")</f>
        <v>Struktura klanu. Używany do obracania rud do metalowych prętów.</v>
      </c>
      <c r="J236" s="25" t="str">
        <f ca="1">IFERROR(__xludf.DUMMYFUNCTION("GOOGLETRANSLATE(B236, ""en"", ""zh"")"),"氏族结构。用来将矿石变成金属条。")</f>
        <v>氏族结构。用来将矿石变成金属条。</v>
      </c>
      <c r="K236" s="25" t="str">
        <f ca="1">IFERROR(__xludf.DUMMYFUNCTION("GOOGLETRANSLATE(B236, ""en"", ""vi"")"),"Cấu trúc gia tộc. Được sử dụng để biến quặng thành các thanh kim loại.")</f>
        <v>Cấu trúc gia tộc. Được sử dụng để biến quặng thành các thanh kim loại.</v>
      </c>
      <c r="L236" s="26" t="str">
        <f ca="1">IFERROR(__xludf.DUMMYFUNCTION("GOOGLETRANSLATE(B236, ""en"", ""hr"")"),"Struktura klana. Koristi se za okretanje ruda u metalne šipke.")</f>
        <v>Struktura klana. Koristi se za okretanje ruda u metalne šipke.</v>
      </c>
      <c r="M236" s="28"/>
      <c r="N236" s="28"/>
      <c r="O236" s="28"/>
      <c r="P236" s="28"/>
      <c r="Q236" s="28"/>
      <c r="R236" s="28"/>
      <c r="S236" s="28"/>
      <c r="T236" s="28"/>
      <c r="U236" s="28"/>
      <c r="V236" s="28"/>
      <c r="W236" s="28"/>
      <c r="X236" s="28"/>
      <c r="Y236" s="28"/>
      <c r="Z236" s="28"/>
      <c r="AA236" s="28"/>
      <c r="AB236" s="28"/>
    </row>
    <row r="237" spans="1:28" ht="14" x14ac:dyDescent="0.15">
      <c r="A237" s="21" t="s">
        <v>826</v>
      </c>
      <c r="B237" s="22" t="s">
        <v>375</v>
      </c>
      <c r="C237" s="23" t="str">
        <f ca="1">IFERROR(__xludf.DUMMYFUNCTION("GOOGLETRANSLATE(B237, ""en"", ""fr"")"),"Enclume")</f>
        <v>Enclume</v>
      </c>
      <c r="D237" s="23" t="str">
        <f ca="1">IFERROR(__xludf.DUMMYFUNCTION("GOOGLETRANSLATE(B237, ""en"", ""es"")"),"Yunque")</f>
        <v>Yunque</v>
      </c>
      <c r="E237" s="23" t="str">
        <f ca="1">IFERROR(__xludf.DUMMYFUNCTION("GOOGLETRANSLATE(B237, ""en"", ""ru"")"),"Наковальня")</f>
        <v>Наковальня</v>
      </c>
      <c r="F237" s="23" t="str">
        <f ca="1">IFERROR(__xludf.DUMMYFUNCTION("GOOGLETRANSLATE(B237, ""en"", ""tr"")"),"Örs")</f>
        <v>Örs</v>
      </c>
      <c r="G237" s="23" t="str">
        <f ca="1">IFERROR(__xludf.DUMMYFUNCTION("GOOGLETRANSLATE(B237, ""en"", ""pt"")"),"Bigorna")</f>
        <v>Bigorna</v>
      </c>
      <c r="H237" s="24" t="str">
        <f ca="1">IFERROR(__xludf.DUMMYFUNCTION("GOOGLETRANSLATE(B237, ""en"", ""de"")"),"Amboss")</f>
        <v>Amboss</v>
      </c>
      <c r="I237" s="23" t="str">
        <f ca="1">IFERROR(__xludf.DUMMYFUNCTION("GOOGLETRANSLATE(B237, ""en"", ""pl"")"),"Kowadło")</f>
        <v>Kowadło</v>
      </c>
      <c r="J237" s="25" t="str">
        <f ca="1">IFERROR(__xludf.DUMMYFUNCTION("GOOGLETRANSLATE(B237, ""en"", ""zh"")"),"砧")</f>
        <v>砧</v>
      </c>
      <c r="K237" s="25" t="str">
        <f ca="1">IFERROR(__xludf.DUMMYFUNCTION("GOOGLETRANSLATE(B237, ""en"", ""vi"")"),"Anvil.")</f>
        <v>Anvil.</v>
      </c>
      <c r="L237" s="26" t="str">
        <f ca="1">IFERROR(__xludf.DUMMYFUNCTION("GOOGLETRANSLATE(B237, ""en"", ""hr"")"),"Nakovanj")</f>
        <v>Nakovanj</v>
      </c>
      <c r="M237" s="28"/>
      <c r="N237" s="28"/>
      <c r="O237" s="28"/>
      <c r="P237" s="28"/>
      <c r="Q237" s="28"/>
      <c r="R237" s="28"/>
      <c r="S237" s="28"/>
      <c r="T237" s="28"/>
      <c r="U237" s="28"/>
      <c r="V237" s="28"/>
      <c r="W237" s="28"/>
      <c r="X237" s="28"/>
      <c r="Y237" s="28"/>
      <c r="Z237" s="28"/>
      <c r="AA237" s="28"/>
      <c r="AB237" s="28"/>
    </row>
    <row r="238" spans="1:28" ht="70" x14ac:dyDescent="0.15">
      <c r="A238" s="21" t="s">
        <v>827</v>
      </c>
      <c r="B238" s="22" t="s">
        <v>828</v>
      </c>
      <c r="C238" s="23" t="str">
        <f ca="1">IFERROR(__xludf.DUMMYFUNCTION("GOOGLETRANSLATE(B238, ""en"", ""fr"")"),"Structure du clan. Utilisé pour créer des articles en métal.")</f>
        <v>Structure du clan. Utilisé pour créer des articles en métal.</v>
      </c>
      <c r="D238" s="23" t="str">
        <f ca="1">IFERROR(__xludf.DUMMYFUNCTION("GOOGLETRANSLATE(B238, ""en"", ""es"")"),"Estructura del clan. Se utiliza para crear artículos de metal.")</f>
        <v>Estructura del clan. Se utiliza para crear artículos de metal.</v>
      </c>
      <c r="E238" s="23" t="str">
        <f ca="1">IFERROR(__xludf.DUMMYFUNCTION("GOOGLETRANSLATE(B238, ""en"", ""ru"")"),"Клановая структура. Используется для ремесла металлических предметов.")</f>
        <v>Клановая структура. Используется для ремесла металлических предметов.</v>
      </c>
      <c r="F238" s="23" t="str">
        <f ca="1">IFERROR(__xludf.DUMMYFUNCTION("GOOGLETRANSLATE(B238, ""en"", ""tr"")"),"Klan yapısı. Metal eşyaları zanaat etmek için kullanılır.")</f>
        <v>Klan yapısı. Metal eşyaları zanaat etmek için kullanılır.</v>
      </c>
      <c r="G238" s="23" t="str">
        <f ca="1">IFERROR(__xludf.DUMMYFUNCTION("GOOGLETRANSLATE(B238, ""en"", ""pt"")"),"Estrutura de clã. Usado para artesanais itens de metal.")</f>
        <v>Estrutura de clã. Usado para artesanais itens de metal.</v>
      </c>
      <c r="H238" s="24" t="str">
        <f ca="1">IFERROR(__xludf.DUMMYFUNCTION("GOOGLETRANSLATE(B238, ""en"", ""de"")"),"Clanstruktur. Verwendet, um Metallgegenstände herzustellen.")</f>
        <v>Clanstruktur. Verwendet, um Metallgegenstände herzustellen.</v>
      </c>
      <c r="I238" s="23" t="str">
        <f ca="1">IFERROR(__xludf.DUMMYFUNCTION("GOOGLETRANSLATE(B238, ""en"", ""pl"")"),"Struktura klanu. Używany do rzemieślniczych przedmiotów metalowych.")</f>
        <v>Struktura klanu. Używany do rzemieślniczych przedmiotów metalowych.</v>
      </c>
      <c r="J238" s="25" t="str">
        <f ca="1">IFERROR(__xludf.DUMMYFUNCTION("GOOGLETRANSLATE(B238, ""en"", ""zh"")"),"氏族结构。用于制作金属物品。")</f>
        <v>氏族结构。用于制作金属物品。</v>
      </c>
      <c r="K238" s="25" t="str">
        <f ca="1">IFERROR(__xludf.DUMMYFUNCTION("GOOGLETRANSLATE(B238, ""en"", ""vi"")"),"Cấu trúc gia tộc. Dùng để thủ công các mặt hàng kim loại.")</f>
        <v>Cấu trúc gia tộc. Dùng để thủ công các mặt hàng kim loại.</v>
      </c>
      <c r="L238" s="26" t="str">
        <f ca="1">IFERROR(__xludf.DUMMYFUNCTION("GOOGLETRANSLATE(B238, ""en"", ""hr"")"),"Struktura klana. Koristi se za obrt metalnih predmeta.")</f>
        <v>Struktura klana. Koristi se za obrt metalnih predmeta.</v>
      </c>
      <c r="M238" s="28"/>
      <c r="N238" s="28"/>
      <c r="O238" s="28"/>
      <c r="P238" s="28"/>
      <c r="Q238" s="28"/>
      <c r="R238" s="28"/>
      <c r="S238" s="28"/>
      <c r="T238" s="28"/>
      <c r="U238" s="28"/>
      <c r="V238" s="28"/>
      <c r="W238" s="28"/>
      <c r="X238" s="28"/>
      <c r="Y238" s="28"/>
      <c r="Z238" s="28"/>
      <c r="AA238" s="28"/>
      <c r="AB238" s="28"/>
    </row>
    <row r="239" spans="1:28" ht="14" x14ac:dyDescent="0.15">
      <c r="A239" s="42" t="s">
        <v>829</v>
      </c>
      <c r="B239" s="22" t="s">
        <v>377</v>
      </c>
      <c r="C239" s="23" t="str">
        <f ca="1">IFERROR(__xludf.DUMMYFUNCTION("GOOGLETRANSLATE(B239, ""en"", ""fr"")"),"Laboratoire")</f>
        <v>Laboratoire</v>
      </c>
      <c r="D239" s="23" t="str">
        <f ca="1">IFERROR(__xludf.DUMMYFUNCTION("GOOGLETRANSLATE(B239, ""en"", ""es"")"),"Laboratorio")</f>
        <v>Laboratorio</v>
      </c>
      <c r="E239" s="23" t="str">
        <f ca="1">IFERROR(__xludf.DUMMYFUNCTION("GOOGLETRANSLATE(B239, ""en"", ""ru"")"),"Лаборатория")</f>
        <v>Лаборатория</v>
      </c>
      <c r="F239" s="23" t="str">
        <f ca="1">IFERROR(__xludf.DUMMYFUNCTION("GOOGLETRANSLATE(B239, ""en"", ""tr"")"),"Laboratuvar")</f>
        <v>Laboratuvar</v>
      </c>
      <c r="G239" s="23" t="str">
        <f ca="1">IFERROR(__xludf.DUMMYFUNCTION("GOOGLETRANSLATE(B239, ""en"", ""pt"")"),"Laboratório")</f>
        <v>Laboratório</v>
      </c>
      <c r="H239" s="24" t="str">
        <f ca="1">IFERROR(__xludf.DUMMYFUNCTION("GOOGLETRANSLATE(B239, ""en"", ""de"")"),"Labor")</f>
        <v>Labor</v>
      </c>
      <c r="I239" s="23" t="str">
        <f ca="1">IFERROR(__xludf.DUMMYFUNCTION("GOOGLETRANSLATE(B239, ""en"", ""pl"")"),"Laboratorium")</f>
        <v>Laboratorium</v>
      </c>
      <c r="J239" s="25" t="str">
        <f ca="1">IFERROR(__xludf.DUMMYFUNCTION("GOOGLETRANSLATE(B239, ""en"", ""zh"")"),"实验室")</f>
        <v>实验室</v>
      </c>
      <c r="K239" s="25" t="str">
        <f ca="1">IFERROR(__xludf.DUMMYFUNCTION("GOOGLETRANSLATE(B239, ""en"", ""vi"")"),"Phòng thí nghiệm")</f>
        <v>Phòng thí nghiệm</v>
      </c>
      <c r="L239" s="26" t="str">
        <f ca="1">IFERROR(__xludf.DUMMYFUNCTION("GOOGLETRANSLATE(B239, ""en"", ""hr"")"),"Laboratorija")</f>
        <v>Laboratorija</v>
      </c>
      <c r="M239" s="28"/>
      <c r="N239" s="28"/>
      <c r="O239" s="28"/>
      <c r="P239" s="28"/>
      <c r="Q239" s="28"/>
      <c r="R239" s="28"/>
      <c r="S239" s="28"/>
      <c r="T239" s="28"/>
      <c r="U239" s="28"/>
      <c r="V239" s="28"/>
      <c r="W239" s="28"/>
      <c r="X239" s="28"/>
      <c r="Y239" s="28"/>
      <c r="Z239" s="28"/>
      <c r="AA239" s="28"/>
      <c r="AB239" s="28"/>
    </row>
    <row r="240" spans="1:28" ht="42" x14ac:dyDescent="0.15">
      <c r="A240" s="42" t="s">
        <v>830</v>
      </c>
      <c r="B240" s="22" t="s">
        <v>831</v>
      </c>
      <c r="C240" s="23" t="str">
        <f ca="1">IFERROR(__xludf.DUMMYFUNCTION("GOOGLETRANSLATE(B240, ""en"", ""fr"")"),"Structure du clan. Utilisé pour fabriquer des potions.")</f>
        <v>Structure du clan. Utilisé pour fabriquer des potions.</v>
      </c>
      <c r="D240" s="23" t="str">
        <f ca="1">IFERROR(__xludf.DUMMYFUNCTION("GOOGLETRANSLATE(B240, ""en"", ""es"")"),"Estructura del clan. Se utiliza para manipular pociones.")</f>
        <v>Estructura del clan. Se utiliza para manipular pociones.</v>
      </c>
      <c r="E240" s="23" t="str">
        <f ca="1">IFERROR(__xludf.DUMMYFUNCTION("GOOGLETRANSLATE(B240, ""en"", ""ru"")"),"Клановая структура. Используется для ремесла зелья.")</f>
        <v>Клановая структура. Используется для ремесла зелья.</v>
      </c>
      <c r="F240" s="23" t="str">
        <f ca="1">IFERROR(__xludf.DUMMYFUNCTION("GOOGLETRANSLATE(B240, ""en"", ""tr"")"),"Klan yapısı. İksirleri zanaat etmek için kullanılır.")</f>
        <v>Klan yapısı. İksirleri zanaat etmek için kullanılır.</v>
      </c>
      <c r="G240" s="23" t="str">
        <f ca="1">IFERROR(__xludf.DUMMYFUNCTION("GOOGLETRANSLATE(B240, ""en"", ""pt"")"),"Estrutura de clã. Usado para artesanato.")</f>
        <v>Estrutura de clã. Usado para artesanato.</v>
      </c>
      <c r="H240" s="24" t="str">
        <f ca="1">IFERROR(__xludf.DUMMYFUNCTION("GOOGLETRANSLATE(B240, ""en"", ""de"")"),"Clanstruktur. Verwendet, um Tränke zu büsten.")</f>
        <v>Clanstruktur. Verwendet, um Tränke zu büsten.</v>
      </c>
      <c r="I240" s="23" t="str">
        <f ca="1">IFERROR(__xludf.DUMMYFUNCTION("GOOGLETRANSLATE(B240, ""en"", ""pl"")"),"Struktura klanu. Używany do rzemieślniczych mikstur.")</f>
        <v>Struktura klanu. Używany do rzemieślniczych mikstur.</v>
      </c>
      <c r="J240" s="25" t="str">
        <f ca="1">IFERROR(__xludf.DUMMYFUNCTION("GOOGLETRANSLATE(B240, ""en"", ""zh"")"),"氏族结构。用来制作药水。")</f>
        <v>氏族结构。用来制作药水。</v>
      </c>
      <c r="K240" s="25" t="str">
        <f ca="1">IFERROR(__xludf.DUMMYFUNCTION("GOOGLETRANSLATE(B240, ""en"", ""vi"")"),"Cấu trúc gia tộc. Dùng để thủ công potions.")</f>
        <v>Cấu trúc gia tộc. Dùng để thủ công potions.</v>
      </c>
      <c r="L240" s="26" t="str">
        <f ca="1">IFERROR(__xludf.DUMMYFUNCTION("GOOGLETRANSLATE(B240, ""en"", ""hr"")"),"Struktura klana. Koristi se za obrt napitaka.")</f>
        <v>Struktura klana. Koristi se za obrt napitaka.</v>
      </c>
      <c r="M240" s="28"/>
      <c r="N240" s="28"/>
      <c r="O240" s="28"/>
      <c r="P240" s="28"/>
      <c r="Q240" s="28"/>
      <c r="R240" s="28"/>
      <c r="S240" s="28"/>
      <c r="T240" s="28"/>
      <c r="U240" s="28"/>
      <c r="V240" s="28"/>
      <c r="W240" s="28"/>
      <c r="X240" s="28"/>
      <c r="Y240" s="28"/>
      <c r="Z240" s="28"/>
      <c r="AA240" s="28"/>
      <c r="AB240" s="28"/>
    </row>
    <row r="241" spans="1:28" ht="14" x14ac:dyDescent="0.15">
      <c r="A241" s="42" t="s">
        <v>832</v>
      </c>
      <c r="B241" s="22" t="s">
        <v>833</v>
      </c>
      <c r="C241" s="23" t="str">
        <f ca="1">IFERROR(__xludf.DUMMYFUNCTION("GOOGLETRANSLATE(B241, ""en"", ""fr"")"),"Générateur")</f>
        <v>Générateur</v>
      </c>
      <c r="D241" s="23" t="str">
        <f ca="1">IFERROR(__xludf.DUMMYFUNCTION("GOOGLETRANSLATE(B241, ""en"", ""es"")"),"Generador")</f>
        <v>Generador</v>
      </c>
      <c r="E241" s="23" t="str">
        <f ca="1">IFERROR(__xludf.DUMMYFUNCTION("GOOGLETRANSLATE(B241, ""en"", ""ru"")"),"Генератор")</f>
        <v>Генератор</v>
      </c>
      <c r="F241" s="23" t="str">
        <f ca="1">IFERROR(__xludf.DUMMYFUNCTION("GOOGLETRANSLATE(B241, ""en"", ""tr"")"),"Jeneratör")</f>
        <v>Jeneratör</v>
      </c>
      <c r="G241" s="23" t="str">
        <f ca="1">IFERROR(__xludf.DUMMYFUNCTION("GOOGLETRANSLATE(B241, ""en"", ""pt"")"),"Gerador")</f>
        <v>Gerador</v>
      </c>
      <c r="H241" s="24" t="str">
        <f ca="1">IFERROR(__xludf.DUMMYFUNCTION("GOOGLETRANSLATE(B241, ""en"", ""de"")"),"Generator")</f>
        <v>Generator</v>
      </c>
      <c r="I241" s="23" t="str">
        <f ca="1">IFERROR(__xludf.DUMMYFUNCTION("GOOGLETRANSLATE(B241, ""en"", ""pl"")"),"Generator")</f>
        <v>Generator</v>
      </c>
      <c r="J241" s="25" t="str">
        <f ca="1">IFERROR(__xludf.DUMMYFUNCTION("GOOGLETRANSLATE(B241, ""en"", ""zh"")"),"发电机")</f>
        <v>发电机</v>
      </c>
      <c r="K241" s="25" t="str">
        <f ca="1">IFERROR(__xludf.DUMMYFUNCTION("GOOGLETRANSLATE(B241, ""en"", ""vi"")"),"Máy phát điện")</f>
        <v>Máy phát điện</v>
      </c>
      <c r="L241" s="26" t="str">
        <f ca="1">IFERROR(__xludf.DUMMYFUNCTION("GOOGLETRANSLATE(B241, ""en"", ""hr"")"),"Generator")</f>
        <v>Generator</v>
      </c>
      <c r="M241" s="28"/>
      <c r="N241" s="28"/>
      <c r="O241" s="28"/>
      <c r="P241" s="28"/>
      <c r="Q241" s="28"/>
      <c r="R241" s="28"/>
      <c r="S241" s="28"/>
      <c r="T241" s="28"/>
      <c r="U241" s="28"/>
      <c r="V241" s="28"/>
      <c r="W241" s="28"/>
      <c r="X241" s="28"/>
      <c r="Y241" s="28"/>
      <c r="Z241" s="28"/>
      <c r="AA241" s="28"/>
      <c r="AB241" s="28"/>
    </row>
    <row r="242" spans="1:28" ht="168" x14ac:dyDescent="0.15">
      <c r="A242" s="42" t="s">
        <v>834</v>
      </c>
      <c r="B242" s="22" t="s">
        <v>835</v>
      </c>
      <c r="C242" s="23" t="str">
        <f ca="1">IFERROR(__xludf.DUMMYFUNCTION("GOOGLETRANSLATE(B242,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42" s="23" t="str">
        <f ca="1">IFERROR(__xludf.DUMMYFUNCTION("GOOGLETRANSLATE(B242,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42" s="23" t="str">
        <f ca="1">IFERROR(__xludf.DUMMYFUNCTION("GOOGLETRANSLATE(B242,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42" s="23" t="str">
        <f ca="1">IFERROR(__xludf.DUMMYFUNCTION("GOOGLETRANSLATE(B242,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42" s="23" t="str">
        <f ca="1">IFERROR(__xludf.DUMMYFUNCTION("GOOGLETRANSLATE(B242,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42" s="24" t="str">
        <f ca="1">IFERROR(__xludf.DUMMYFUNCTION("GOOGLETRANSLATE(B242,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42" s="23" t="str">
        <f ca="1">IFERROR(__xludf.DUMMYFUNCTION("GOOGLETRANSLATE(B242,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42" s="25" t="str">
        <f ca="1">IFERROR(__xludf.DUMMYFUNCTION("GOOGLETRANSLATE(B242,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42" s="25" t="str">
        <f ca="1">IFERROR(__xludf.DUMMYFUNCTION("GOOGLETRANSLATE(B242,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42" s="26" t="str">
        <f ca="1">IFERROR(__xludf.DUMMYFUNCTION("GOOGLETRANSLATE(B242,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42" s="28"/>
      <c r="N242" s="28"/>
      <c r="O242" s="28"/>
      <c r="P242" s="28"/>
      <c r="Q242" s="28"/>
      <c r="R242" s="28"/>
      <c r="S242" s="28"/>
      <c r="T242" s="28"/>
      <c r="U242" s="28"/>
      <c r="V242" s="28"/>
      <c r="W242" s="28"/>
      <c r="X242" s="28"/>
      <c r="Y242" s="28"/>
      <c r="Z242" s="28"/>
      <c r="AA242" s="28"/>
      <c r="AB242" s="28"/>
    </row>
    <row r="243" spans="1:28" ht="14" x14ac:dyDescent="0.15">
      <c r="A243" s="42" t="s">
        <v>836</v>
      </c>
      <c r="B243" s="22" t="s">
        <v>837</v>
      </c>
      <c r="C243" s="23" t="str">
        <f ca="1">IFERROR(__xludf.DUMMYFUNCTION("GOOGLETRANSLATE(B243, ""en"", ""fr"")"),"Clé de combat")</f>
        <v>Clé de combat</v>
      </c>
      <c r="D243" s="23" t="str">
        <f ca="1">IFERROR(__xludf.DUMMYFUNCTION("GOOGLETRANSLATE(B243, ""en"", ""es"")"),"Llave de combate")</f>
        <v>Llave de combate</v>
      </c>
      <c r="E243" s="23" t="str">
        <f ca="1">IFERROR(__xludf.DUMMYFUNCTION("GOOGLETRANSLATE(B243, ""en"", ""ru"")"),"Истребитель")</f>
        <v>Истребитель</v>
      </c>
      <c r="F243" s="23" t="str">
        <f ca="1">IFERROR(__xludf.DUMMYFUNCTION("GOOGLETRANSLATE(B243, ""en"", ""tr"")"),"Savaşçı anahtarı")</f>
        <v>Savaşçı anahtarı</v>
      </c>
      <c r="G243" s="23" t="str">
        <f ca="1">IFERROR(__xludf.DUMMYFUNCTION("GOOGLETRANSLATE(B243, ""en"", ""pt"")"),"Chave de lutador")</f>
        <v>Chave de lutador</v>
      </c>
      <c r="H243" s="24" t="str">
        <f ca="1">IFERROR(__xludf.DUMMYFUNCTION("GOOGLETRANSLATE(B243, ""en"", ""de"")"),"Kämpferschlüssel")</f>
        <v>Kämpferschlüssel</v>
      </c>
      <c r="I243" s="23" t="str">
        <f ca="1">IFERROR(__xludf.DUMMYFUNCTION("GOOGLETRANSLATE(B243, ""en"", ""pl"")"),"Kluczem myśliwski")</f>
        <v>Kluczem myśliwski</v>
      </c>
      <c r="J243" s="25" t="str">
        <f ca="1">IFERROR(__xludf.DUMMYFUNCTION("GOOGLETRANSLATE(B243, ""en"", ""zh"")"),"战斗机钥匙")</f>
        <v>战斗机钥匙</v>
      </c>
      <c r="K243" s="25" t="str">
        <f ca="1">IFERROR(__xludf.DUMMYFUNCTION("GOOGLETRANSLATE(B243, ""en"", ""vi"")"),"Phím chiến đấu")</f>
        <v>Phím chiến đấu</v>
      </c>
      <c r="L243" s="26" t="str">
        <f ca="1">IFERROR(__xludf.DUMMYFUNCTION("GOOGLETRANSLATE(B243, ""en"", ""hr"")"),"Ključ borbenog")</f>
        <v>Ključ borbenog</v>
      </c>
      <c r="M243" s="28"/>
      <c r="N243" s="28"/>
      <c r="O243" s="28"/>
      <c r="P243" s="28"/>
      <c r="Q243" s="28"/>
      <c r="R243" s="28"/>
      <c r="S243" s="28"/>
      <c r="T243" s="28"/>
      <c r="U243" s="28"/>
      <c r="V243" s="28"/>
      <c r="W243" s="28"/>
      <c r="X243" s="28"/>
      <c r="Y243" s="28"/>
      <c r="Z243" s="28"/>
      <c r="AA243" s="28"/>
      <c r="AB243" s="28"/>
    </row>
    <row r="244" spans="1:28" ht="112" x14ac:dyDescent="0.15">
      <c r="A244" s="42" t="s">
        <v>838</v>
      </c>
      <c r="B244" s="22" t="s">
        <v>839</v>
      </c>
      <c r="C244" s="23" t="str">
        <f ca="1">IFERROR(__xludf.DUMMYFUNCTION("GOOGLETRANSLATE(B244, ""en"", ""fr"")"),"Ouvre la porte de la zone de préparation du PvP Arena. Avertissement! D'autres joueurs peuvent vous attaquer dans la fosse de combat!")</f>
        <v>Ouvre la porte de la zone de préparation du PvP Arena. Avertissement! D'autres joueurs peuvent vous attaquer dans la fosse de combat!</v>
      </c>
      <c r="D244" s="23" t="str">
        <f ca="1">IFERROR(__xludf.DUMMYFUNCTION("GOOGLETRANSLATE(B244, ""en"", ""es"")"),"Abre la puerta al área de preparación de la arena PVP. ¡Advertencia! ¡Otros jugadores pueden atacarte en el pozo de lucha!")</f>
        <v>Abre la puerta al área de preparación de la arena PVP. ¡Advertencia! ¡Otros jugadores pueden atacarte en el pozo de lucha!</v>
      </c>
      <c r="E244" s="23" t="str">
        <f ca="1">IFERROR(__xludf.DUMMYFUNCTION("GOOGLETRANSLATE(B244,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4" s="23" t="str">
        <f ca="1">IFERROR(__xludf.DUMMYFUNCTION("GOOGLETRANSLATE(B244, ""en"", ""tr"")"),"PVP Arena Hazırlık Alanına kapıyı açar. Uyarı! Diğer oyuncular size mücadele çukuruna saldırabilir!")</f>
        <v>PVP Arena Hazırlık Alanına kapıyı açar. Uyarı! Diğer oyuncular size mücadele çukuruna saldırabilir!</v>
      </c>
      <c r="G244" s="23" t="str">
        <f ca="1">IFERROR(__xludf.DUMMYFUNCTION("GOOGLETRANSLATE(B244, ""en"", ""pt"")"),"Abre a porta para a área de preparação de arena PVP. Aviso! Outros jogadores podem atacá-lo na luta!")</f>
        <v>Abre a porta para a área de preparação de arena PVP. Aviso! Outros jogadores podem atacá-lo na luta!</v>
      </c>
      <c r="H244" s="24" t="str">
        <f ca="1">IFERROR(__xludf.DUMMYFUNCTION("GOOGLETRANSLATE(B244, ""en"", ""de"")"),"Öffnet die Tür zum PVP-Arena-Vorbereitungsbereich. Warnung! Andere Spieler können Sie in der Kampfgrube angreifen!")</f>
        <v>Öffnet die Tür zum PVP-Arena-Vorbereitungsbereich. Warnung! Andere Spieler können Sie in der Kampfgrube angreifen!</v>
      </c>
      <c r="I244" s="23" t="str">
        <f ca="1">IFERROR(__xludf.DUMMYFUNCTION("GOOGLETRANSLATE(B244, ""en"", ""pl"")"),"Otwiera drzwi do obszaru przygotowania areny PVP. Ostrzeżenie! Inni gracze mogą cię zaatakować w walce!")</f>
        <v>Otwiera drzwi do obszaru przygotowania areny PVP. Ostrzeżenie! Inni gracze mogą cię zaatakować w walce!</v>
      </c>
      <c r="J244" s="25" t="str">
        <f ca="1">IFERROR(__xludf.DUMMYFUNCTION("GOOGLETRANSLATE(B244, ""en"", ""zh"")"),"打开PVP竞技场准备区的门。警告！其他玩家可以在战斗坑里攻击你！")</f>
        <v>打开PVP竞技场准备区的门。警告！其他玩家可以在战斗坑里攻击你！</v>
      </c>
      <c r="K244" s="25" t="str">
        <f ca="1">IFERROR(__xludf.DUMMYFUNCTION("GOOGLETRANSLATE(B244,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4" s="26" t="str">
        <f ca="1">IFERROR(__xludf.DUMMYFUNCTION("GOOGLETRANSLATE(B244, ""en"", ""hr"")"),"Otvara vrata pripreme PvP arene. Upozorenje! Drugi igrači vas mogu napasti u borbenoj jami!")</f>
        <v>Otvara vrata pripreme PvP arene. Upozorenje! Drugi igrači vas mogu napasti u borbenoj jami!</v>
      </c>
      <c r="M244" s="28"/>
      <c r="N244" s="28"/>
      <c r="O244" s="28"/>
      <c r="P244" s="28"/>
      <c r="Q244" s="28"/>
      <c r="R244" s="28"/>
      <c r="S244" s="28"/>
      <c r="T244" s="28"/>
      <c r="U244" s="28"/>
      <c r="V244" s="28"/>
      <c r="W244" s="28"/>
      <c r="X244" s="28"/>
      <c r="Y244" s="28"/>
      <c r="Z244" s="28"/>
      <c r="AA244" s="28"/>
      <c r="AB244" s="28"/>
    </row>
    <row r="245" spans="1:28" ht="14" x14ac:dyDescent="0.15">
      <c r="A245" s="42" t="s">
        <v>840</v>
      </c>
      <c r="B245" s="22" t="s">
        <v>841</v>
      </c>
      <c r="C245" s="23" t="str">
        <f ca="1">IFERROR(__xludf.DUMMYFUNCTION("GOOGLETRANSLATE(B245, ""en"", ""fr"")"),"Touche de fosse")</f>
        <v>Touche de fosse</v>
      </c>
      <c r="D245" s="23" t="str">
        <f ca="1">IFERROR(__xludf.DUMMYFUNCTION("GOOGLETRANSLATE(B245, ""en"", ""es"")"),"Llavero")</f>
        <v>Llavero</v>
      </c>
      <c r="E245" s="23" t="str">
        <f ca="1">IFERROR(__xludf.DUMMYFUNCTION("GOOGLETRANSLATE(B245, ""en"", ""ru"")"),"Ключ")</f>
        <v>Ключ</v>
      </c>
      <c r="F245" s="23" t="str">
        <f ca="1">IFERROR(__xludf.DUMMYFUNCTION("GOOGLETRANSLATE(B245, ""en"", ""tr"")"),"Çukur anahtarı")</f>
        <v>Çukur anahtarı</v>
      </c>
      <c r="G245" s="23" t="str">
        <f ca="1">IFERROR(__xludf.DUMMYFUNCTION("GOOGLETRANSLATE(B245, ""en"", ""pt"")"),"Tecla pit")</f>
        <v>Tecla pit</v>
      </c>
      <c r="H245" s="24" t="str">
        <f ca="1">IFERROR(__xludf.DUMMYFUNCTION("GOOGLETRANSLATE(B245, ""en"", ""de"")"),"Pit-Key")</f>
        <v>Pit-Key</v>
      </c>
      <c r="I245" s="23" t="str">
        <f ca="1">IFERROR(__xludf.DUMMYFUNCTION("GOOGLETRANSLATE(B245, ""en"", ""pl"")"),"Klucz Pit.")</f>
        <v>Klucz Pit.</v>
      </c>
      <c r="J245" s="25" t="str">
        <f ca="1">IFERROR(__xludf.DUMMYFUNCTION("GOOGLETRANSLATE(B245, ""en"", ""zh"")"),"坑钥匙")</f>
        <v>坑钥匙</v>
      </c>
      <c r="K245" s="25" t="str">
        <f ca="1">IFERROR(__xludf.DUMMYFUNCTION("GOOGLETRANSLATE(B245, ""en"", ""vi"")"),"Phím pit.")</f>
        <v>Phím pit.</v>
      </c>
      <c r="L245" s="26" t="str">
        <f ca="1">IFERROR(__xludf.DUMMYFUNCTION("GOOGLETRANSLATE(B245, ""en"", ""hr"")"),"Ključ")</f>
        <v>Ključ</v>
      </c>
      <c r="M245" s="28"/>
      <c r="N245" s="28"/>
      <c r="O245" s="28"/>
      <c r="P245" s="28"/>
      <c r="Q245" s="28"/>
      <c r="R245" s="28"/>
      <c r="S245" s="28"/>
      <c r="T245" s="28"/>
      <c r="U245" s="28"/>
      <c r="V245" s="28"/>
      <c r="W245" s="28"/>
      <c r="X245" s="28"/>
      <c r="Y245" s="28"/>
      <c r="Z245" s="28"/>
      <c r="AA245" s="28"/>
      <c r="AB245" s="28"/>
    </row>
    <row r="246" spans="1:28" ht="42" x14ac:dyDescent="0.15">
      <c r="A246" s="42" t="s">
        <v>842</v>
      </c>
      <c r="B246" s="22" t="s">
        <v>843</v>
      </c>
      <c r="C246" s="23" t="str">
        <f ca="1">IFERROR(__xludf.DUMMYFUNCTION("GOOGLETRANSLATE(B246, ""en"", ""fr"")"),"Ouvre les portes pour sortir de la fosse de combat.")</f>
        <v>Ouvre les portes pour sortir de la fosse de combat.</v>
      </c>
      <c r="D246" s="23" t="str">
        <f ca="1">IFERROR(__xludf.DUMMYFUNCTION("GOOGLETRANSLATE(B246, ""en"", ""es"")"),"Abre las puertas para salir del pozo de lucha.")</f>
        <v>Abre las puertas para salir del pozo de lucha.</v>
      </c>
      <c r="E246" s="23" t="str">
        <f ca="1">IFERROR(__xludf.DUMMYFUNCTION("GOOGLETRANSLATE(B246, ""en"", ""ru"")"),"Открывает двери, чтобы выйти из боевой ямы.")</f>
        <v>Открывает двери, чтобы выйти из боевой ямы.</v>
      </c>
      <c r="F246" s="23" t="str">
        <f ca="1">IFERROR(__xludf.DUMMYFUNCTION("GOOGLETRANSLATE(B246, ""en"", ""tr"")"),"Mücadele çukurundan çıkmak için kapıları açar.")</f>
        <v>Mücadele çukurundan çıkmak için kapıları açar.</v>
      </c>
      <c r="G246" s="23" t="str">
        <f ca="1">IFERROR(__xludf.DUMMYFUNCTION("GOOGLETRANSLATE(B246, ""en"", ""pt"")"),"Abre as portas para sair da luta.")</f>
        <v>Abre as portas para sair da luta.</v>
      </c>
      <c r="H246" s="24" t="str">
        <f ca="1">IFERROR(__xludf.DUMMYFUNCTION("GOOGLETRANSLATE(B246, ""en"", ""de"")"),"Öffnet die Türen, um aus der Kampfgrube zu verlassen.")</f>
        <v>Öffnet die Türen, um aus der Kampfgrube zu verlassen.</v>
      </c>
      <c r="I246" s="23" t="str">
        <f ca="1">IFERROR(__xludf.DUMMYFUNCTION("GOOGLETRANSLATE(B246, ""en"", ""pl"")"),"Otwiera drzwi, aby wyjść z bólu walki.")</f>
        <v>Otwiera drzwi, aby wyjść z bólu walki.</v>
      </c>
      <c r="J246" s="25" t="str">
        <f ca="1">IFERROR(__xludf.DUMMYFUNCTION("GOOGLETRANSLATE(B246, ""en"", ""zh"")"),"打开门以摆脱战斗坑。")</f>
        <v>打开门以摆脱战斗坑。</v>
      </c>
      <c r="K246" s="25" t="str">
        <f ca="1">IFERROR(__xludf.DUMMYFUNCTION("GOOGLETRANSLATE(B246, ""en"", ""vi"")"),"Mở ra những cánh cửa để thoát khỏi hố chiến đấu.")</f>
        <v>Mở ra những cánh cửa để thoát khỏi hố chiến đấu.</v>
      </c>
      <c r="L246" s="26" t="str">
        <f ca="1">IFERROR(__xludf.DUMMYFUNCTION("GOOGLETRANSLATE(B246, ""en"", ""hr"")"),"Otvara vrata da izađu iz borbene jame.")</f>
        <v>Otvara vrata da izađu iz borbene jame.</v>
      </c>
      <c r="M246" s="28"/>
      <c r="N246" s="28"/>
      <c r="O246" s="28"/>
      <c r="P246" s="28"/>
      <c r="Q246" s="28"/>
      <c r="R246" s="28"/>
      <c r="S246" s="28"/>
      <c r="T246" s="28"/>
      <c r="U246" s="28"/>
      <c r="V246" s="28"/>
      <c r="W246" s="28"/>
      <c r="X246" s="28"/>
      <c r="Y246" s="28"/>
      <c r="Z246" s="28"/>
      <c r="AA246" s="28"/>
      <c r="AB246" s="28"/>
    </row>
    <row r="247" spans="1:28" ht="28" x14ac:dyDescent="0.15">
      <c r="A247" s="21" t="s">
        <v>844</v>
      </c>
      <c r="B247" s="22" t="s">
        <v>845</v>
      </c>
      <c r="C247" s="23" t="str">
        <f ca="1">IFERROR(__xludf.DUMMYFUNCTION("GOOGLETRANSLATE(B247, ""en"", ""fr"")"),"Scroll de la zone de guérison")</f>
        <v>Scroll de la zone de guérison</v>
      </c>
      <c r="D247" s="23" t="str">
        <f ca="1">IFERROR(__xludf.DUMMYFUNCTION("GOOGLETRANSLATE(B247, ""en"", ""es"")"),"Desplazamiento de la zona de sanidad")</f>
        <v>Desplazamiento de la zona de sanidad</v>
      </c>
      <c r="E247" s="23" t="str">
        <f ca="1">IFERROR(__xludf.DUMMYFUNCTION("GOOGLETRANSLATE(B247, ""en"", ""ru"")"),"Прокрутка полета")</f>
        <v>Прокрутка полета</v>
      </c>
      <c r="F247" s="23" t="str">
        <f ca="1">IFERROR(__xludf.DUMMYFUNCTION("GOOGLETRANSLATE(B247, ""en"", ""tr"")"),"İyileştirme alanı kaydırma")</f>
        <v>İyileştirme alanı kaydırma</v>
      </c>
      <c r="G247" s="23" t="str">
        <f ca="1">IFERROR(__xludf.DUMMYFUNCTION("GOOGLETRANSLATE(B247, ""en"", ""pt"")"),"Pergaminho da área de cura")</f>
        <v>Pergaminho da área de cura</v>
      </c>
      <c r="H247" s="24" t="str">
        <f ca="1">IFERROR(__xludf.DUMMYFUNCTION("GOOGLETRANSLATE(B247, ""en"", ""de"")"),"Blättern Sie vom Heilbereich")</f>
        <v>Blättern Sie vom Heilbereich</v>
      </c>
      <c r="I247" s="23" t="str">
        <f ca="1">IFERROR(__xludf.DUMMYFUNCTION("GOOGLETRANSLATE(B247, ""en"", ""pl"")"),"Przewiń obszar leczenia")</f>
        <v>Przewiń obszar leczenia</v>
      </c>
      <c r="J247" s="25" t="str">
        <f ca="1">IFERROR(__xludf.DUMMYFUNCTION("GOOGLETRANSLATE(B247, ""en"", ""zh"")"),"治疗区域卷轴")</f>
        <v>治疗区域卷轴</v>
      </c>
      <c r="K247" s="25" t="str">
        <f ca="1">IFERROR(__xludf.DUMMYFUNCTION("GOOGLETRANSLATE(B247, ""en"", ""vi"")"),"Cuộn diện tích chữa lành")</f>
        <v>Cuộn diện tích chữa lành</v>
      </c>
      <c r="L247" s="26" t="str">
        <f ca="1">IFERROR(__xludf.DUMMYFUNCTION("GOOGLETRANSLATE(B247, ""en"", ""hr"")"),"Pomicanje od liječenja područja")</f>
        <v>Pomicanje od liječenja područja</v>
      </c>
      <c r="M247" s="28"/>
      <c r="N247" s="28"/>
      <c r="O247" s="28"/>
      <c r="P247" s="28"/>
      <c r="Q247" s="28"/>
      <c r="R247" s="28"/>
      <c r="S247" s="28"/>
      <c r="T247" s="28"/>
      <c r="U247" s="28"/>
      <c r="V247" s="28"/>
      <c r="W247" s="28"/>
      <c r="X247" s="28"/>
      <c r="Y247" s="28"/>
      <c r="Z247" s="28"/>
      <c r="AA247" s="28"/>
      <c r="AB247" s="28"/>
    </row>
    <row r="248" spans="1:28" ht="42" x14ac:dyDescent="0.15">
      <c r="A248" s="21" t="s">
        <v>846</v>
      </c>
      <c r="B248" s="22" t="s">
        <v>847</v>
      </c>
      <c r="C248" s="23" t="str">
        <f ca="1">IFERROR(__xludf.DUMMYFUNCTION("GOOGLETRANSLATE(B248, ""en"", ""fr"")"),"Guérit toutes les créatures autour de vous.")</f>
        <v>Guérit toutes les créatures autour de vous.</v>
      </c>
      <c r="D248" s="23" t="str">
        <f ca="1">IFERROR(__xludf.DUMMYFUNCTION("GOOGLETRANSLATE(B248, ""en"", ""es"")"),"Cura a todas las criaturas a su alrededor.")</f>
        <v>Cura a todas las criaturas a su alrededor.</v>
      </c>
      <c r="E248" s="23" t="str">
        <f ca="1">IFERROR(__xludf.DUMMYFUNCTION("GOOGLETRANSLATE(B248, ""en"", ""ru"")"),"Исцеляет все существа вокруг себя.")</f>
        <v>Исцеляет все существа вокруг себя.</v>
      </c>
      <c r="F248" s="23" t="str">
        <f ca="1">IFERROR(__xludf.DUMMYFUNCTION("GOOGLETRANSLATE(B248, ""en"", ""tr"")"),"Etrafındaki tüm canlıları iyileştirir.")</f>
        <v>Etrafındaki tüm canlıları iyileştirir.</v>
      </c>
      <c r="G248" s="23" t="str">
        <f ca="1">IFERROR(__xludf.DUMMYFUNCTION("GOOGLETRANSLATE(B248, ""en"", ""pt"")"),"Cura todas as criaturas ao seu redor.")</f>
        <v>Cura todas as criaturas ao seu redor.</v>
      </c>
      <c r="H248" s="24" t="str">
        <f ca="1">IFERROR(__xludf.DUMMYFUNCTION("GOOGLETRANSLATE(B248, ""en"", ""de"")"),"Heilt alle Kreaturen um sich selbst.")</f>
        <v>Heilt alle Kreaturen um sich selbst.</v>
      </c>
      <c r="I248" s="23" t="str">
        <f ca="1">IFERROR(__xludf.DUMMYFUNCTION("GOOGLETRANSLATE(B248, ""en"", ""pl"")"),"Utlenia się wokół wszystkich stworzeń.")</f>
        <v>Utlenia się wokół wszystkich stworzeń.</v>
      </c>
      <c r="J248" s="25" t="str">
        <f ca="1">IFERROR(__xludf.DUMMYFUNCTION("GOOGLETRANSLATE(B248, ""en"", ""zh"")"),"治愈自己周围的所有生物。")</f>
        <v>治愈自己周围的所有生物。</v>
      </c>
      <c r="K248" s="25" t="str">
        <f ca="1">IFERROR(__xludf.DUMMYFUNCTION("GOOGLETRANSLATE(B248, ""en"", ""vi"")"),"Chữa lành tất cả các sinh vật xung quanh mình.")</f>
        <v>Chữa lành tất cả các sinh vật xung quanh mình.</v>
      </c>
      <c r="L248" s="26" t="str">
        <f ca="1">IFERROR(__xludf.DUMMYFUNCTION("GOOGLETRANSLATE(B248, ""en"", ""hr"")"),"Liječi sva stvorenja oko sebe.")</f>
        <v>Liječi sva stvorenja oko sebe.</v>
      </c>
      <c r="M248" s="28"/>
      <c r="N248" s="28"/>
      <c r="O248" s="28"/>
      <c r="P248" s="28"/>
      <c r="Q248" s="28"/>
      <c r="R248" s="28"/>
      <c r="S248" s="28"/>
      <c r="T248" s="28"/>
      <c r="U248" s="28"/>
      <c r="V248" s="28"/>
      <c r="W248" s="28"/>
      <c r="X248" s="28"/>
      <c r="Y248" s="28"/>
      <c r="Z248" s="28"/>
      <c r="AA248" s="28"/>
      <c r="AB248" s="28"/>
    </row>
    <row r="249" spans="1:28" ht="28" x14ac:dyDescent="0.15">
      <c r="A249" s="21" t="s">
        <v>848</v>
      </c>
      <c r="B249" s="22" t="s">
        <v>849</v>
      </c>
      <c r="C249" s="23" t="str">
        <f ca="1">IFERROR(__xludf.DUMMYFUNCTION("GOOGLETRANSLATE(B249, ""en"", ""fr"")"),"Faire défiler")</f>
        <v>Faire défiler</v>
      </c>
      <c r="D249" s="23" t="str">
        <f ca="1">IFERROR(__xludf.DUMMYFUNCTION("GOOGLETRANSLATE(B249, ""en"", ""es"")"),"Desplazamiento de guardia")</f>
        <v>Desplazamiento de guardia</v>
      </c>
      <c r="E249" s="23" t="str">
        <f ca="1">IFERROR(__xludf.DUMMYFUNCTION("GOOGLETRANSLATE(B249, ""en"", ""ru"")"),"Свиток Защита")</f>
        <v>Свиток Защита</v>
      </c>
      <c r="F249" s="23" t="str">
        <f ca="1">IFERROR(__xludf.DUMMYFUNCTION("GOOGLETRANSLATE(B249, ""en"", ""tr"")"),"Uğur alma kaydırma")</f>
        <v>Uğur alma kaydırma</v>
      </c>
      <c r="G249" s="23" t="str">
        <f ca="1">IFERROR(__xludf.DUMMYFUNCTION("GOOGLETRANSLATE(B249, ""en"", ""pt"")"),"Rolo de vigilância")</f>
        <v>Rolo de vigilância</v>
      </c>
      <c r="H249" s="24" t="str">
        <f ca="1">IFERROR(__xludf.DUMMYFUNCTION("GOOGLETRANSLATE(B249, ""en"", ""de"")"),"Scrollen von Abwehr")</f>
        <v>Scrollen von Abwehr</v>
      </c>
      <c r="I249" s="23" t="str">
        <f ca="1">IFERROR(__xludf.DUMMYFUNCTION("GOOGLETRANSLATE(B249, ""en"", ""pl"")"),"Przewiń Strażniczy")</f>
        <v>Przewiń Strażniczy</v>
      </c>
      <c r="J249" s="25" t="str">
        <f ca="1">IFERROR(__xludf.DUMMYFUNCTION("GOOGLETRANSLATE(B249, ""en"", ""zh"")"),"滚动")</f>
        <v>滚动</v>
      </c>
      <c r="K249" s="25" t="str">
        <f ca="1">IFERROR(__xludf.DUMMYFUNCTION("GOOGLETRANSLATE(B249, ""en"", ""vi"")"),"Cuộn phường")</f>
        <v>Cuộn phường</v>
      </c>
      <c r="L249" s="26" t="str">
        <f ca="1">IFERROR(__xludf.DUMMYFUNCTION("GOOGLETRANSLATE(B249, ""en"", ""hr"")"),"Pomicanje od čuvara")</f>
        <v>Pomicanje od čuvara</v>
      </c>
      <c r="M249" s="28"/>
      <c r="N249" s="28"/>
      <c r="O249" s="28"/>
      <c r="P249" s="28"/>
      <c r="Q249" s="28"/>
      <c r="R249" s="28"/>
      <c r="S249" s="28"/>
      <c r="T249" s="28"/>
      <c r="U249" s="28"/>
      <c r="V249" s="28"/>
      <c r="W249" s="28"/>
      <c r="X249" s="28"/>
      <c r="Y249" s="28"/>
      <c r="Z249" s="28"/>
      <c r="AA249" s="28"/>
      <c r="AB249" s="28"/>
    </row>
    <row r="250" spans="1:28" ht="98" x14ac:dyDescent="0.15">
      <c r="A250" s="21" t="s">
        <v>850</v>
      </c>
      <c r="B250" s="22" t="s">
        <v>851</v>
      </c>
      <c r="C250" s="23" t="str">
        <f ca="1">IFERROR(__xludf.DUMMYFUNCTION("GOOGLETRANSLATE(B250,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50" s="23" t="str">
        <f ca="1">IFERROR(__xludf.DUMMYFUNCTION("GOOGLETRANSLATE(B250, ""en"", ""es"")"),"Encanta todas las criaturas a su alrededor. Esas criaturas no dañan la próxima vez que se dañen.")</f>
        <v>Encanta todas las criaturas a su alrededor. Esas criaturas no dañan la próxima vez que se dañen.</v>
      </c>
      <c r="E250" s="23" t="str">
        <f ca="1">IFERROR(__xludf.DUMMYFUNCTION("GOOGLETRANSLATE(B250,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50" s="23" t="str">
        <f ca="1">IFERROR(__xludf.DUMMYFUNCTION("GOOGLETRANSLATE(B250, ""en"", ""tr"")"),"Çevrenizdeki tüm canlıları inceler. Bu yaratıklar bir dahaki sefere zarar görmezler.")</f>
        <v>Çevrenizdeki tüm canlıları inceler. Bu yaratıklar bir dahaki sefere zarar görmezler.</v>
      </c>
      <c r="G250" s="23" t="str">
        <f ca="1">IFERROR(__xludf.DUMMYFUNCTION("GOOGLETRANSLATE(B250, ""en"", ""pt"")"),"Encanta todas as criaturas ao redor de si mesmo. Essas criaturas não tomam nenhum dano na próxima vez que ficariam danificados.")</f>
        <v>Encanta todas as criaturas ao redor de si mesmo. Essas criaturas não tomam nenhum dano na próxima vez que ficariam danificados.</v>
      </c>
      <c r="H250" s="24" t="str">
        <f ca="1">IFERROR(__xludf.DUMMYFUNCTION("GOOGLETRANSLATE(B250,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50" s="23" t="str">
        <f ca="1">IFERROR(__xludf.DUMMYFUNCTION("GOOGLETRANSLATE(B250, ""en"", ""pl"")"),"Uważamy wszystkie stworzenia wokół siebie. Te stworzenia nie biorą szkód następnym razem, gdy zostaną uszkodzone.")</f>
        <v>Uważamy wszystkie stworzenia wokół siebie. Te stworzenia nie biorą szkód następnym razem, gdy zostaną uszkodzone.</v>
      </c>
      <c r="J250" s="25" t="str">
        <f ca="1">IFERROR(__xludf.DUMMYFUNCTION("GOOGLETRANSLATE(B250, ""en"", ""zh"")"),"迷惑自己周围的所有生物。这些生物下次损坏时不会损坏。")</f>
        <v>迷惑自己周围的所有生物。这些生物下次损坏时不会损坏。</v>
      </c>
      <c r="K250" s="25" t="str">
        <f ca="1">IFERROR(__xludf.DUMMYFUNCTION("GOOGLETRANSLATE(B250,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50" s="26" t="str">
        <f ca="1">IFERROR(__xludf.DUMMYFUNCTION("GOOGLETRANSLATE(B250, ""en"", ""hr"")"),"Očarava sva stvorenja oko sebe. Ta stvorenja ne štete sljedeći put kad bi bili oštećeni.")</f>
        <v>Očarava sva stvorenja oko sebe. Ta stvorenja ne štete sljedeći put kad bi bili oštećeni.</v>
      </c>
      <c r="M250" s="28"/>
      <c r="N250" s="28"/>
      <c r="O250" s="28"/>
      <c r="P250" s="28"/>
      <c r="Q250" s="28"/>
      <c r="R250" s="28"/>
      <c r="S250" s="28"/>
      <c r="T250" s="28"/>
      <c r="U250" s="28"/>
      <c r="V250" s="28"/>
      <c r="W250" s="28"/>
      <c r="X250" s="28"/>
      <c r="Y250" s="28"/>
      <c r="Z250" s="28"/>
      <c r="AA250" s="28"/>
      <c r="AB250" s="28"/>
    </row>
    <row r="251" spans="1:28" ht="28" x14ac:dyDescent="0.15">
      <c r="A251" s="21" t="s">
        <v>852</v>
      </c>
      <c r="B251" s="22" t="s">
        <v>853</v>
      </c>
      <c r="C251" s="23" t="str">
        <f ca="1">IFERROR(__xludf.DUMMYFUNCTION("GOOGLETRANSLATE(B251, ""en"", ""fr"")"),"Faire défiler le nettoyage")</f>
        <v>Faire défiler le nettoyage</v>
      </c>
      <c r="D251" s="23" t="str">
        <f ca="1">IFERROR(__xludf.DUMMYFUNCTION("GOOGLETRANSLATE(B251, ""en"", ""es"")"),"Desplazamiento de la limpieza")</f>
        <v>Desplazamiento de la limpieza</v>
      </c>
      <c r="E251" s="23" t="str">
        <f ca="1">IFERROR(__xludf.DUMMYFUNCTION("GOOGLETRANSLATE(B251, ""en"", ""ru"")"),"Свиток очищения")</f>
        <v>Свиток очищения</v>
      </c>
      <c r="F251" s="23" t="str">
        <f ca="1">IFERROR(__xludf.DUMMYFUNCTION("GOOGLETRANSLATE(B251, ""en"", ""tr"")"),"Temizleme kaydırma")</f>
        <v>Temizleme kaydırma</v>
      </c>
      <c r="G251" s="23" t="str">
        <f ca="1">IFERROR(__xludf.DUMMYFUNCTION("GOOGLETRANSLATE(B251, ""en"", ""pt"")"),"Rolo de limpeza")</f>
        <v>Rolo de limpeza</v>
      </c>
      <c r="H251" s="24" t="str">
        <f ca="1">IFERROR(__xludf.DUMMYFUNCTION("GOOGLETRANSLATE(B251, ""en"", ""de"")"),"Rollen der Reinigung")</f>
        <v>Rollen der Reinigung</v>
      </c>
      <c r="I251" s="23" t="str">
        <f ca="1">IFERROR(__xludf.DUMMYFUNCTION("GOOGLETRANSLATE(B251, ""en"", ""pl"")"),"Przewiń oczyszczanie")</f>
        <v>Przewiń oczyszczanie</v>
      </c>
      <c r="J251" s="25" t="str">
        <f ca="1">IFERROR(__xludf.DUMMYFUNCTION("GOOGLETRANSLATE(B251, ""en"", ""zh"")"),"卷轴清洁")</f>
        <v>卷轴清洁</v>
      </c>
      <c r="K251" s="25" t="str">
        <f ca="1">IFERROR(__xludf.DUMMYFUNCTION("GOOGLETRANSLATE(B251, ""en"", ""vi"")"),"Cuộn làm sạch")</f>
        <v>Cuộn làm sạch</v>
      </c>
      <c r="L251" s="26" t="str">
        <f ca="1">IFERROR(__xludf.DUMMYFUNCTION("GOOGLETRANSLATE(B251, ""en"", ""hr"")"),"Pomicanje čišćenja")</f>
        <v>Pomicanje čišćenja</v>
      </c>
      <c r="M251" s="28"/>
      <c r="N251" s="28"/>
      <c r="O251" s="28"/>
      <c r="P251" s="28"/>
      <c r="Q251" s="28"/>
      <c r="R251" s="28"/>
      <c r="S251" s="28"/>
      <c r="T251" s="28"/>
      <c r="U251" s="28"/>
      <c r="V251" s="28"/>
      <c r="W251" s="28"/>
      <c r="X251" s="28"/>
      <c r="Y251" s="28"/>
      <c r="Z251" s="28"/>
      <c r="AA251" s="28"/>
      <c r="AB251" s="28"/>
    </row>
    <row r="252" spans="1:28" ht="84" x14ac:dyDescent="0.15">
      <c r="A252" s="21" t="s">
        <v>854</v>
      </c>
      <c r="B252" s="22" t="s">
        <v>855</v>
      </c>
      <c r="C252" s="23" t="str">
        <f ca="1">IFERROR(__xludf.DUMMYFUNCTION("GOOGLETRANSLATE(B252, ""en"", ""fr"")"),"Supprime les malédictions sur toutes les créatures autour de vous. Guérit pour chaque malédiction supprimée.")</f>
        <v>Supprime les malédictions sur toutes les créatures autour de vous. Guérit pour chaque malédiction supprimée.</v>
      </c>
      <c r="D252" s="23" t="str">
        <f ca="1">IFERROR(__xludf.DUMMYFUNCTION("GOOGLETRANSLATE(B252, ""en"", ""es"")"),"Elimina maldiciones en todas las criaturas a su alrededor. Cura por cada maldición eliminada.")</f>
        <v>Elimina maldiciones en todas las criaturas a su alrededor. Cura por cada maldición eliminada.</v>
      </c>
      <c r="E252" s="23" t="str">
        <f ca="1">IFERROR(__xludf.DUMMYFUNCTION("GOOGLETRANSLATE(B252,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52" s="23" t="str">
        <f ca="1">IFERROR(__xludf.DUMMYFUNCTION("GOOGLETRANSLATE(B252, ""en"", ""tr"")"),"Etrafınızdaki tüm canlılardaki lanetleri kaldırır. Kaldırılan her lanet için iyileşir.")</f>
        <v>Etrafınızdaki tüm canlılardaki lanetleri kaldırır. Kaldırılan her lanet için iyileşir.</v>
      </c>
      <c r="G252" s="23" t="str">
        <f ca="1">IFERROR(__xludf.DUMMYFUNCTION("GOOGLETRANSLATE(B252, ""en"", ""pt"")"),"Remove as maldições em todas as criaturas ao seu redor. Cura para cada maldição removida.")</f>
        <v>Remove as maldições em todas as criaturas ao seu redor. Cura para cada maldição removida.</v>
      </c>
      <c r="H252" s="24" t="str">
        <f ca="1">IFERROR(__xludf.DUMMYFUNCTION("GOOGLETRANSLATE(B252, ""en"", ""de"")"),"Entfernt Flüche auf allen Kreaturen um sich selbst. Heilt für jeden Fluch entfernt.")</f>
        <v>Entfernt Flüche auf allen Kreaturen um sich selbst. Heilt für jeden Fluch entfernt.</v>
      </c>
      <c r="I252" s="23" t="str">
        <f ca="1">IFERROR(__xludf.DUMMYFUNCTION("GOOGLETRANSLATE(B252, ""en"", ""pl"")"),"Usuwa przekleństwa na wszystkie stworzenia wokół siebie. Uzdrawiają się na każdą klątwę.")</f>
        <v>Usuwa przekleństwa na wszystkie stworzenia wokół siebie. Uzdrawiają się na każdą klątwę.</v>
      </c>
      <c r="J252" s="25" t="str">
        <f ca="1">IFERROR(__xludf.DUMMYFUNCTION("GOOGLETRANSLATE(B252, ""en"", ""zh"")"),"在自己周围的所有生物上删除诅咒。删除每个诅咒的治愈。")</f>
        <v>在自己周围的所有生物上删除诅咒。删除每个诅咒的治愈。</v>
      </c>
      <c r="K252" s="25" t="str">
        <f ca="1">IFERROR(__xludf.DUMMYFUNCTION("GOOGLETRANSLATE(B252,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52" s="26" t="str">
        <f ca="1">IFERROR(__xludf.DUMMYFUNCTION("GOOGLETRANSLATE(B252, ""en"", ""hr"")"),"Uklanja prokletstva na svim stvorenjima oko sebe. Liječi za svaki prokletstvo.")</f>
        <v>Uklanja prokletstva na svim stvorenjima oko sebe. Liječi za svaki prokletstvo.</v>
      </c>
      <c r="M252" s="28"/>
      <c r="N252" s="28"/>
      <c r="O252" s="28"/>
      <c r="P252" s="28"/>
      <c r="Q252" s="28"/>
      <c r="R252" s="28"/>
      <c r="S252" s="28"/>
      <c r="T252" s="28"/>
      <c r="U252" s="28"/>
      <c r="V252" s="28"/>
      <c r="W252" s="28"/>
      <c r="X252" s="28"/>
      <c r="Y252" s="28"/>
      <c r="Z252" s="28"/>
      <c r="AA252" s="28"/>
      <c r="AB252" s="28"/>
    </row>
    <row r="253" spans="1:28" ht="28" x14ac:dyDescent="0.15">
      <c r="A253" s="21" t="s">
        <v>856</v>
      </c>
      <c r="B253" s="22" t="s">
        <v>857</v>
      </c>
      <c r="C253" s="23" t="str">
        <f ca="1">IFERROR(__xludf.DUMMYFUNCTION("GOOGLETRANSLATE(B253, ""en"", ""fr"")"),"Faire défiler de pacifier")</f>
        <v>Faire défiler de pacifier</v>
      </c>
      <c r="D253" s="23" t="str">
        <f ca="1">IFERROR(__xludf.DUMMYFUNCTION("GOOGLETRANSLATE(B253, ""en"", ""es"")"),"Desplazamiento de pacificar")</f>
        <v>Desplazamiento de pacificar</v>
      </c>
      <c r="E253" s="23" t="str">
        <f ca="1">IFERROR(__xludf.DUMMYFUNCTION("GOOGLETRANSLATE(B253, ""en"", ""ru"")"),"Прокрутка умиротворения")</f>
        <v>Прокрутка умиротворения</v>
      </c>
      <c r="F253" s="23" t="str">
        <f ca="1">IFERROR(__xludf.DUMMYFUNCTION("GOOGLETRANSLATE(B253, ""en"", ""tr"")"),"Pasifikasyonun kaydırılması")</f>
        <v>Pasifikasyonun kaydırılması</v>
      </c>
      <c r="G253" s="23" t="str">
        <f ca="1">IFERROR(__xludf.DUMMYFUNCTION("GOOGLETRANSLATE(B253, ""en"", ""pt"")"),"Rolar de pacificar")</f>
        <v>Rolar de pacificar</v>
      </c>
      <c r="H253" s="24" t="str">
        <f ca="1">IFERROR(__xludf.DUMMYFUNCTION("GOOGLETRANSLATE(B253, ""en"", ""de"")"),"Scrollen von Pecify.")</f>
        <v>Scrollen von Pecify.</v>
      </c>
      <c r="I253" s="23" t="str">
        <f ca="1">IFERROR(__xludf.DUMMYFUNCTION("GOOGLETRANSLATE(B253, ""en"", ""pl"")"),"Przewiń pacyfikacji.")</f>
        <v>Przewiń pacyfikacji.</v>
      </c>
      <c r="J253" s="25" t="str">
        <f ca="1">IFERROR(__xludf.DUMMYFUNCTION("GOOGLETRANSLATE(B253, ""en"", ""zh"")"),"安抚抚平卷轴")</f>
        <v>安抚抚平卷轴</v>
      </c>
      <c r="K253" s="25" t="str">
        <f ca="1">IFERROR(__xludf.DUMMYFUNCTION("GOOGLETRANSLATE(B253, ""en"", ""vi"")"),"Cuộn bình định")</f>
        <v>Cuộn bình định</v>
      </c>
      <c r="L253" s="26" t="str">
        <f ca="1">IFERROR(__xludf.DUMMYFUNCTION("GOOGLETRANSLATE(B253, ""en"", ""hr"")"),"Pomicanje da smiri smiriti smiriti")</f>
        <v>Pomicanje da smiri smiriti smiriti</v>
      </c>
      <c r="M253" s="28"/>
      <c r="N253" s="28"/>
      <c r="O253" s="28"/>
      <c r="P253" s="28"/>
      <c r="Q253" s="28"/>
      <c r="R253" s="28"/>
      <c r="S253" s="28"/>
      <c r="T253" s="28"/>
      <c r="U253" s="28"/>
      <c r="V253" s="28"/>
      <c r="W253" s="28"/>
      <c r="X253" s="28"/>
      <c r="Y253" s="28"/>
      <c r="Z253" s="28"/>
      <c r="AA253" s="28"/>
      <c r="AB253" s="28"/>
    </row>
    <row r="254" spans="1:28" ht="56" x14ac:dyDescent="0.15">
      <c r="A254" s="21" t="s">
        <v>858</v>
      </c>
      <c r="B254" s="22" t="s">
        <v>859</v>
      </c>
      <c r="C254" s="23" t="str">
        <f ca="1">IFERROR(__xludf.DUMMYFUNCTION("GOOGLETRANSLATE(B254, ""en"", ""fr"")"),"Malédiction de la cible. Pour une courte durée, la cible ne peut pas attaquer.")</f>
        <v>Malédiction de la cible. Pour une courte durée, la cible ne peut pas attaquer.</v>
      </c>
      <c r="D254" s="23" t="str">
        <f ca="1">IFERROR(__xludf.DUMMYFUNCTION("GOOGLETRANSLATE(B254, ""en"", ""es"")"),"Maldice el objetivo. Durante una breve duración, el objetivo no puede atacar.")</f>
        <v>Maldice el objetivo. Durante una breve duración, el objetivo no puede atacar.</v>
      </c>
      <c r="E254" s="23" t="str">
        <f ca="1">IFERROR(__xludf.DUMMYFUNCTION("GOOGLETRANSLATE(B254, ""en"", ""ru"")"),"Проклинает цель. На некоторое время цель не может атаковать.")</f>
        <v>Проклинает цель. На некоторое время цель не может атаковать.</v>
      </c>
      <c r="F254" s="23" t="str">
        <f ca="1">IFERROR(__xludf.DUMMYFUNCTION("GOOGLETRANSLATE(B254, ""en"", ""tr"")"),"Hedefi lanetler. Kısa bir süre için, hedef saldıramaz.")</f>
        <v>Hedefi lanetler. Kısa bir süre için, hedef saldıramaz.</v>
      </c>
      <c r="G254" s="23" t="str">
        <f ca="1">IFERROR(__xludf.DUMMYFUNCTION("GOOGLETRANSLATE(B254, ""en"", ""pt"")"),"Amaldiçoa o alvo. Por uma curta duração, o alvo não pode atacar.")</f>
        <v>Amaldiçoa o alvo. Por uma curta duração, o alvo não pode atacar.</v>
      </c>
      <c r="H254" s="24" t="str">
        <f ca="1">IFERROR(__xludf.DUMMYFUNCTION("GOOGLETRANSLATE(B254, ""en"", ""de"")"),"Flattert das Ziel. Für eine kurze Dauer kann das Ziel nicht angreifen.")</f>
        <v>Flattert das Ziel. Für eine kurze Dauer kann das Ziel nicht angreifen.</v>
      </c>
      <c r="I254" s="23" t="str">
        <f ca="1">IFERROR(__xludf.DUMMYFUNCTION("GOOGLETRANSLATE(B254, ""en"", ""pl"")"),"Przeklinać cel. Przez krótki czas cel nie może atakować.")</f>
        <v>Przeklinać cel. Przez krótki czas cel nie może atakować.</v>
      </c>
      <c r="J254" s="25" t="str">
        <f ca="1">IFERROR(__xludf.DUMMYFUNCTION("GOOGLETRANSLATE(B254, ""en"", ""zh"")"),"诅咒目标。在短时间内，目标无法攻击。")</f>
        <v>诅咒目标。在短时间内，目标无法攻击。</v>
      </c>
      <c r="K254" s="25" t="str">
        <f ca="1">IFERROR(__xludf.DUMMYFUNCTION("GOOGLETRANSLATE(B254, ""en"", ""vi"")"),"Nguyền rủa mục tiêu. Trong một thời gian ngắn, mục tiêu không thể tấn công.")</f>
        <v>Nguyền rủa mục tiêu. Trong một thời gian ngắn, mục tiêu không thể tấn công.</v>
      </c>
      <c r="L254" s="26" t="str">
        <f ca="1">IFERROR(__xludf.DUMMYFUNCTION("GOOGLETRANSLATE(B254, ""en"", ""hr"")"),"Prokleti cilj. Za kratko trajanje, cilj ne može napasti.")</f>
        <v>Prokleti cilj. Za kratko trajanje, cilj ne može napasti.</v>
      </c>
      <c r="M254" s="28"/>
      <c r="N254" s="28"/>
      <c r="O254" s="28"/>
      <c r="P254" s="28"/>
      <c r="Q254" s="28"/>
      <c r="R254" s="28"/>
      <c r="S254" s="28"/>
      <c r="T254" s="28"/>
      <c r="U254" s="28"/>
      <c r="V254" s="28"/>
      <c r="W254" s="28"/>
      <c r="X254" s="28"/>
      <c r="Y254" s="28"/>
      <c r="Z254" s="28"/>
      <c r="AA254" s="28"/>
      <c r="AB254" s="28"/>
    </row>
    <row r="255" spans="1:28" ht="28" x14ac:dyDescent="0.15">
      <c r="A255" s="21" t="s">
        <v>860</v>
      </c>
      <c r="B255" s="22" t="s">
        <v>861</v>
      </c>
      <c r="C255" s="23" t="str">
        <f ca="1">IFERROR(__xludf.DUMMYFUNCTION("GOOGLETRANSLATE(B255, ""en"", ""fr"")"),"Faire défiler du vent arrière")</f>
        <v>Faire défiler du vent arrière</v>
      </c>
      <c r="D255" s="23" t="str">
        <f ca="1">IFERROR(__xludf.DUMMYFUNCTION("GOOGLETRANSLATE(B255, ""en"", ""es"")"),"Desplazarse de Tailwind")</f>
        <v>Desplazarse de Tailwind</v>
      </c>
      <c r="E255" s="23" t="str">
        <f ca="1">IFERROR(__xludf.DUMMYFUNCTION("GOOGLETRANSLATE(B255, ""en"", ""ru"")"),"Свиток хвостовой ветки")</f>
        <v>Свиток хвостовой ветки</v>
      </c>
      <c r="F255" s="23" t="str">
        <f ca="1">IFERROR(__xludf.DUMMYFUNCTION("GOOGLETRANSLATE(B255, ""en"", ""tr"")"),"Tailwind kaydırma")</f>
        <v>Tailwind kaydırma</v>
      </c>
      <c r="G255" s="23" t="str">
        <f ca="1">IFERROR(__xludf.DUMMYFUNCTION("GOOGLETRANSLATE(B255, ""en"", ""pt"")"),"Rolo de vento de cauda")</f>
        <v>Rolo de vento de cauda</v>
      </c>
      <c r="H255" s="24" t="str">
        <f ca="1">IFERROR(__xludf.DUMMYFUNCTION("GOOGLETRANSLATE(B255, ""en"", ""de"")"),"Blättern von RADWIND.")</f>
        <v>Blättern von RADWIND.</v>
      </c>
      <c r="I255" s="23" t="str">
        <f ca="1">IFERROR(__xludf.DUMMYFUNCTION("GOOGLETRANSLATE(B255, ""en"", ""pl"")"),"Przewiń Tailwind.")</f>
        <v>Przewiń Tailwind.</v>
      </c>
      <c r="J255" s="25" t="str">
        <f ca="1">IFERROR(__xludf.DUMMYFUNCTION("GOOGLETRANSLATE(B255, ""en"", ""zh"")"),"邮轮卷轴")</f>
        <v>邮轮卷轴</v>
      </c>
      <c r="K255" s="25" t="str">
        <f ca="1">IFERROR(__xludf.DUMMYFUNCTION("GOOGLETRANSLATE(B255, ""en"", ""vi"")"),"Cuộn Tailwind.")</f>
        <v>Cuộn Tailwind.</v>
      </c>
      <c r="L255" s="26" t="str">
        <f ca="1">IFERROR(__xludf.DUMMYFUNCTION("GOOGLETRANSLATE(B255, ""en"", ""hr"")"),"Svitak repa")</f>
        <v>Svitak repa</v>
      </c>
      <c r="M255" s="28"/>
      <c r="N255" s="28"/>
      <c r="O255" s="28"/>
      <c r="P255" s="28"/>
      <c r="Q255" s="28"/>
      <c r="R255" s="28"/>
      <c r="S255" s="28"/>
      <c r="T255" s="28"/>
      <c r="U255" s="28"/>
      <c r="V255" s="28"/>
      <c r="W255" s="28"/>
      <c r="X255" s="28"/>
      <c r="Y255" s="28"/>
      <c r="Z255" s="28"/>
      <c r="AA255" s="28"/>
      <c r="AB255" s="28"/>
    </row>
    <row r="256" spans="1:28" ht="42" x14ac:dyDescent="0.15">
      <c r="A256" s="21" t="s">
        <v>862</v>
      </c>
      <c r="B256" s="22" t="s">
        <v>863</v>
      </c>
      <c r="C256" s="23" t="str">
        <f ca="1">IFERROR(__xludf.DUMMYFUNCTION("GOOGLETRANSLATE(B256, ""en"", ""fr"")"),"Crée du vent qui vous explose en avant.")</f>
        <v>Crée du vent qui vous explose en avant.</v>
      </c>
      <c r="D256" s="23" t="str">
        <f ca="1">IFERROR(__xludf.DUMMYFUNCTION("GOOGLETRANSLATE(B256, ""en"", ""es"")"),"Crea viento que te sopla hacia adelante.")</f>
        <v>Crea viento que te sopla hacia adelante.</v>
      </c>
      <c r="E256" s="23" t="str">
        <f ca="1">IFERROR(__xludf.DUMMYFUNCTION("GOOGLETRANSLATE(B256, ""en"", ""ru"")"),"Создает ветер, который поражает вас вперед.")</f>
        <v>Создает ветер, который поражает вас вперед.</v>
      </c>
      <c r="F256" s="23" t="str">
        <f ca="1">IFERROR(__xludf.DUMMYFUNCTION("GOOGLETRANSLATE(B256, ""en"", ""tr"")"),"Sizi ilerleten rüzgar yaratır.")</f>
        <v>Sizi ilerleten rüzgar yaratır.</v>
      </c>
      <c r="G256" s="23" t="str">
        <f ca="1">IFERROR(__xludf.DUMMYFUNCTION("GOOGLETRANSLATE(B256, ""en"", ""pt"")"),"Cria vento que te lança para frente.")</f>
        <v>Cria vento que te lança para frente.</v>
      </c>
      <c r="H256" s="24" t="str">
        <f ca="1">IFERROR(__xludf.DUMMYFUNCTION("GOOGLETRANSLATE(B256, ""en"", ""de"")"),"Erzeugt Wind, der Sie nach vorne bläst.")</f>
        <v>Erzeugt Wind, der Sie nach vorne bläst.</v>
      </c>
      <c r="I256" s="23" t="str">
        <f ca="1">IFERROR(__xludf.DUMMYFUNCTION("GOOGLETRANSLATE(B256, ""en"", ""pl"")"),"Tworzy wiatr, który ciosuje cię do przodu.")</f>
        <v>Tworzy wiatr, który ciosuje cię do przodu.</v>
      </c>
      <c r="J256" s="25" t="str">
        <f ca="1">IFERROR(__xludf.DUMMYFUNCTION("GOOGLETRANSLATE(B256, ""en"", ""zh"")"),"创造吹向你的风。")</f>
        <v>创造吹向你的风。</v>
      </c>
      <c r="K256" s="25" t="str">
        <f ca="1">IFERROR(__xludf.DUMMYFUNCTION("GOOGLETRANSLATE(B256, ""en"", ""vi"")"),"Tạo ra gió thổi bạn về phía trước.")</f>
        <v>Tạo ra gió thổi bạn về phía trước.</v>
      </c>
      <c r="L256" s="26" t="str">
        <f ca="1">IFERROR(__xludf.DUMMYFUNCTION("GOOGLETRANSLATE(B256, ""en"", ""hr"")"),"Stvara vjetar koji vas puše naprijed.")</f>
        <v>Stvara vjetar koji vas puše naprijed.</v>
      </c>
      <c r="M256" s="28"/>
      <c r="N256" s="28"/>
      <c r="O256" s="28"/>
      <c r="P256" s="28"/>
      <c r="Q256" s="28"/>
      <c r="R256" s="28"/>
      <c r="S256" s="28"/>
      <c r="T256" s="28"/>
      <c r="U256" s="28"/>
      <c r="V256" s="28"/>
      <c r="W256" s="28"/>
      <c r="X256" s="28"/>
      <c r="Y256" s="28"/>
      <c r="Z256" s="28"/>
      <c r="AA256" s="28"/>
      <c r="AB256" s="28"/>
    </row>
    <row r="257" spans="1:28" ht="28" x14ac:dyDescent="0.15">
      <c r="A257" s="21" t="s">
        <v>864</v>
      </c>
      <c r="B257" s="22" t="s">
        <v>865</v>
      </c>
      <c r="C257" s="23" t="str">
        <f ca="1">IFERROR(__xludf.DUMMYFUNCTION("GOOGLETRANSLATE(B257, ""en"", ""fr"")"),"Faire défiler de la réanimation")</f>
        <v>Faire défiler de la réanimation</v>
      </c>
      <c r="D257" s="23" t="str">
        <f ca="1">IFERROR(__xludf.DUMMYFUNCTION("GOOGLETRANSLATE(B257, ""en"", ""es"")"),"Desplazamiento de reanimación")</f>
        <v>Desplazamiento de reanimación</v>
      </c>
      <c r="E257" s="23" t="str">
        <f ca="1">IFERROR(__xludf.DUMMYFUNCTION("GOOGLETRANSLATE(B257, ""en"", ""ru"")"),"Свиток реанимации")</f>
        <v>Свиток реанимации</v>
      </c>
      <c r="F257" s="23" t="str">
        <f ca="1">IFERROR(__xludf.DUMMYFUNCTION("GOOGLETRANSLATE(B257, ""en"", ""tr"")"),"Reanimasyonun kaydırılması")</f>
        <v>Reanimasyonun kaydırılması</v>
      </c>
      <c r="G257" s="23" t="str">
        <f ca="1">IFERROR(__xludf.DUMMYFUNCTION("GOOGLETRANSLATE(B257, ""en"", ""pt"")"),"Rolo de reanimação")</f>
        <v>Rolo de reanimação</v>
      </c>
      <c r="H257" s="24" t="str">
        <f ca="1">IFERROR(__xludf.DUMMYFUNCTION("GOOGLETRANSLATE(B257, ""en"", ""de"")"),"Rüde von REANIMATION.")</f>
        <v>Rüde von REANIMATION.</v>
      </c>
      <c r="I257" s="23" t="str">
        <f ca="1">IFERROR(__xludf.DUMMYFUNCTION("GOOGLETRANSLATE(B257, ""en"", ""pl"")"),"Przewiń reanimacji")</f>
        <v>Przewiń reanimacji</v>
      </c>
      <c r="J257" s="25" t="str">
        <f ca="1">IFERROR(__xludf.DUMMYFUNCTION("GOOGLETRANSLATE(B257, ""en"", ""zh"")"),"卷合恢复")</f>
        <v>卷合恢复</v>
      </c>
      <c r="K257" s="25" t="str">
        <f ca="1">IFERROR(__xludf.DUMMYFUNCTION("GOOGLETRANSLATE(B257, ""en"", ""vi"")"),"Cuộn Reanimation")</f>
        <v>Cuộn Reanimation</v>
      </c>
      <c r="L257" s="26" t="str">
        <f ca="1">IFERROR(__xludf.DUMMYFUNCTION("GOOGLETRANSLATE(B257, ""en"", ""hr"")"),"Pomicanje od reanimacije")</f>
        <v>Pomicanje od reanimacije</v>
      </c>
      <c r="M257" s="28"/>
      <c r="N257" s="28"/>
      <c r="O257" s="28"/>
      <c r="P257" s="28"/>
      <c r="Q257" s="28"/>
      <c r="R257" s="28"/>
      <c r="S257" s="28"/>
      <c r="T257" s="28"/>
      <c r="U257" s="28"/>
      <c r="V257" s="28"/>
      <c r="W257" s="28"/>
      <c r="X257" s="28"/>
      <c r="Y257" s="28"/>
      <c r="Z257" s="28"/>
      <c r="AA257" s="28"/>
      <c r="AB257" s="28"/>
    </row>
    <row r="258" spans="1:28" ht="98" x14ac:dyDescent="0.15">
      <c r="A258" s="21" t="s">
        <v>866</v>
      </c>
      <c r="B258" s="22" t="s">
        <v>867</v>
      </c>
      <c r="C258" s="23" t="str">
        <f ca="1">IFERROR(__xludf.DUMMYFUNCTION("GOOGLETRANSLATE(B258, ""en"", ""fr"")"),"Lève tous les cadavres autour de soi comme des minions du type de créature qu'ils étaient avant leur mort qui vous servira.")</f>
        <v>Lève tous les cadavres autour de soi comme des minions du type de créature qu'ils étaient avant leur mort qui vous servira.</v>
      </c>
      <c r="D258" s="23" t="str">
        <f ca="1">IFERROR(__xludf.DUMMYFUNCTION("GOOGLETRANSLATE(B258, ""en"", ""es"")"),"Levanta todos los cadáveres a su alrededor como Minions del tipo de criatura que estaban antes de morir, eso le servirá.")</f>
        <v>Levanta todos los cadáveres a su alrededor como Minions del tipo de criatura que estaban antes de morir, eso le servirá.</v>
      </c>
      <c r="E258" s="23" t="str">
        <f ca="1">IFERROR(__xludf.DUMMYFUNCTION("GOOGLETRANSLATE(B258,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8" s="23" t="str">
        <f ca="1">IFERROR(__xludf.DUMMYFUNCTION("GOOGLETRANSLATE(B258,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8" s="23" t="str">
        <f ca="1">IFERROR(__xludf.DUMMYFUNCTION("GOOGLETRANSLATE(B258,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8" s="24" t="str">
        <f ca="1">IFERROR(__xludf.DUMMYFUNCTION("GOOGLETRANSLATE(B258, ""en"", ""de"")"),"Erhöht alle Leichen um sich selbst als Zerwälte der Art der Kreatur, die sie waren, bevor sie starben, werden Sie dienen.")</f>
        <v>Erhöht alle Leichen um sich selbst als Zerwälte der Art der Kreatur, die sie waren, bevor sie starben, werden Sie dienen.</v>
      </c>
      <c r="I258" s="23" t="str">
        <f ca="1">IFERROR(__xludf.DUMMYFUNCTION("GOOGLETRANSLATE(B258, ""en"", ""pl"")"),"Podnosi wszystkie zwłoki wokół siebie jako minionych rodzaju stworzenia, które były, zanim umarli, które ci posługują.")</f>
        <v>Podnosi wszystkie zwłoki wokół siebie jako minionych rodzaju stworzenia, które były, zanim umarli, które ci posługują.</v>
      </c>
      <c r="J258" s="25" t="str">
        <f ca="1">IFERROR(__xludf.DUMMYFUNCTION("GOOGLETRANSLATE(B258, ""en"", ""zh"")"),"作为他们在他们死亡之前的生物类型的奴才来提升周围的所有尸体，这将为您服务。")</f>
        <v>作为他们在他们死亡之前的生物类型的奴才来提升周围的所有尸体，这将为您服务。</v>
      </c>
      <c r="K258" s="25" t="str">
        <f ca="1">IFERROR(__xludf.DUMMYFUNCTION("GOOGLETRANSLATE(B258,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8" s="26" t="str">
        <f ca="1">IFERROR(__xludf.DUMMYFUNCTION("GOOGLETRANSLATE(B258, ""en"", ""hr"")"),"Podiže sve leševe oko sebe kao minions vrste stvorenja koje su bile prije nego što su umrli da će vam poslužiti.")</f>
        <v>Podiže sve leševe oko sebe kao minions vrste stvorenja koje su bile prije nego što su umrli da će vam poslužiti.</v>
      </c>
      <c r="M258" s="28"/>
      <c r="N258" s="28"/>
      <c r="O258" s="28"/>
      <c r="P258" s="28"/>
      <c r="Q258" s="28"/>
      <c r="R258" s="28"/>
      <c r="S258" s="28"/>
      <c r="T258" s="28"/>
      <c r="U258" s="28"/>
      <c r="V258" s="28"/>
      <c r="W258" s="28"/>
      <c r="X258" s="28"/>
      <c r="Y258" s="28"/>
      <c r="Z258" s="28"/>
      <c r="AA258" s="28"/>
      <c r="AB258" s="28"/>
    </row>
    <row r="259" spans="1:28" ht="28" x14ac:dyDescent="0.15">
      <c r="A259" s="21" t="s">
        <v>868</v>
      </c>
      <c r="B259" s="22" t="s">
        <v>869</v>
      </c>
      <c r="C259" s="23" t="str">
        <f ca="1">IFERROR(__xludf.DUMMYFUNCTION("GOOGLETRANSLATE(B259, ""en"", ""fr"")"),"Faire défiler de consommer")</f>
        <v>Faire défiler de consommer</v>
      </c>
      <c r="D259" s="23" t="str">
        <f ca="1">IFERROR(__xludf.DUMMYFUNCTION("GOOGLETRANSLATE(B259, ""en"", ""es"")"),"Desplazamiento de consumo")</f>
        <v>Desplazamiento de consumo</v>
      </c>
      <c r="E259" s="23" t="str">
        <f ca="1">IFERROR(__xludf.DUMMYFUNCTION("GOOGLETRANSLATE(B259, ""en"", ""ru"")"),"Свиток потребления")</f>
        <v>Свиток потребления</v>
      </c>
      <c r="F259" s="23" t="str">
        <f ca="1">IFERROR(__xludf.DUMMYFUNCTION("GOOGLETRANSLATE(B259, ""en"", ""tr"")"),"Tüketmek kaydırma")</f>
        <v>Tüketmek kaydırma</v>
      </c>
      <c r="G259" s="23" t="str">
        <f ca="1">IFERROR(__xludf.DUMMYFUNCTION("GOOGLETRANSLATE(B259, ""en"", ""pt"")"),"Rolar de consumo")</f>
        <v>Rolar de consumo</v>
      </c>
      <c r="H259" s="24" t="str">
        <f ca="1">IFERROR(__xludf.DUMMYFUNCTION("GOOGLETRANSLATE(B259, ""en"", ""de"")"),"Scrollen von Konsume.")</f>
        <v>Scrollen von Konsume.</v>
      </c>
      <c r="I259" s="23" t="str">
        <f ca="1">IFERROR(__xludf.DUMMYFUNCTION("GOOGLETRANSLATE(B259, ""en"", ""pl"")"),"Zwój konsumacji")</f>
        <v>Zwój konsumacji</v>
      </c>
      <c r="J259" s="25" t="str">
        <f ca="1">IFERROR(__xludf.DUMMYFUNCTION("GOOGLETRANSLATE(B259, ""en"", ""zh"")"),"滚动消费")</f>
        <v>滚动消费</v>
      </c>
      <c r="K259" s="25" t="str">
        <f ca="1">IFERROR(__xludf.DUMMYFUNCTION("GOOGLETRANSLATE(B259, ""en"", ""vi"")"),"Cuộn tiêu thụ")</f>
        <v>Cuộn tiêu thụ</v>
      </c>
      <c r="L259" s="26" t="str">
        <f ca="1">IFERROR(__xludf.DUMMYFUNCTION("GOOGLETRANSLATE(B259, ""en"", ""hr"")"),"Pomicanje po konzumiranju")</f>
        <v>Pomicanje po konzumiranju</v>
      </c>
      <c r="M259" s="28"/>
      <c r="N259" s="28"/>
      <c r="O259" s="28"/>
      <c r="P259" s="28"/>
      <c r="Q259" s="28"/>
      <c r="R259" s="28"/>
      <c r="S259" s="28"/>
      <c r="T259" s="28"/>
      <c r="U259" s="28"/>
      <c r="V259" s="28"/>
      <c r="W259" s="28"/>
      <c r="X259" s="28"/>
      <c r="Y259" s="28"/>
      <c r="Z259" s="28"/>
      <c r="AA259" s="28"/>
      <c r="AB259" s="28"/>
    </row>
    <row r="260" spans="1:28" ht="84" x14ac:dyDescent="0.15">
      <c r="A260" s="21" t="s">
        <v>870</v>
      </c>
      <c r="B260" s="22" t="s">
        <v>871</v>
      </c>
      <c r="C260" s="23" t="str">
        <f ca="1">IFERROR(__xludf.DUMMYFUNCTION("GOOGLETRANSLATE(B260, ""en"", ""fr"")"),"Détruisez une minion que vous contrôlez dans la direction de la cible pour vous guérir.")</f>
        <v>Détruisez une minion que vous contrôlez dans la direction de la cible pour vous guérir.</v>
      </c>
      <c r="D260" s="23" t="str">
        <f ca="1">IFERROR(__xludf.DUMMYFUNCTION("GOOGLETRANSLATE(B260, ""en"", ""es"")"),"Destruye un minio que controlas en la dirección del objetivo para curarse a ti mismo.")</f>
        <v>Destruye un minio que controlas en la dirección del objetivo para curarse a ti mismo.</v>
      </c>
      <c r="E260" s="23" t="str">
        <f ca="1">IFERROR(__xludf.DUMMYFUNCTION("GOOGLETRANSLATE(B260,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60" s="23" t="str">
        <f ca="1">IFERROR(__xludf.DUMMYFUNCTION("GOOGLETRANSLATE(B260, ""en"", ""tr"")"),"Kendinizi iyileştirmek için hedef yönünde kontrol ettiğiniz bir minyonu yok edin.")</f>
        <v>Kendinizi iyileştirmek için hedef yönünde kontrol ettiğiniz bir minyonu yok edin.</v>
      </c>
      <c r="G260" s="23" t="str">
        <f ca="1">IFERROR(__xludf.DUMMYFUNCTION("GOOGLETRANSLATE(B260, ""en"", ""pt"")"),"Destrua um minion que você controle na direção do alvo para se curar.")</f>
        <v>Destrua um minion que você controle na direção do alvo para se curar.</v>
      </c>
      <c r="H260" s="24" t="str">
        <f ca="1">IFERROR(__xludf.DUMMYFUNCTION("GOOGLETRANSLATE(B260, ""en"", ""de"")"),"Zerstöre einen Minion, den du in der Zielrichtung kontrollierst, um dich selbst zu heilen.")</f>
        <v>Zerstöre einen Minion, den du in der Zielrichtung kontrollierst, um dich selbst zu heilen.</v>
      </c>
      <c r="I260" s="23" t="str">
        <f ca="1">IFERROR(__xludf.DUMMYFUNCTION("GOOGLETRANSLATE(B260, ""en"", ""pl"")"),"Zniszcz sługę, którą kontrolujesz w kierunku docelowym, aby się uleczyć.")</f>
        <v>Zniszcz sługę, którą kontrolujesz w kierunku docelowym, aby się uleczyć.</v>
      </c>
      <c r="J260" s="25" t="str">
        <f ca="1">IFERROR(__xludf.DUMMYFUNCTION("GOOGLETRANSLATE(B260, ""en"", ""zh"")"),"摧毁你在目标方向上控制的仆从来治愈自己。")</f>
        <v>摧毁你在目标方向上控制的仆从来治愈自己。</v>
      </c>
      <c r="K260" s="25" t="str">
        <f ca="1">IFERROR(__xludf.DUMMYFUNCTION("GOOGLETRANSLATE(B260, ""en"", ""vi"")"),"Phá hủy một minion mà bạn kiểm soát theo hướng mục tiêu để chữa lành bản thân.")</f>
        <v>Phá hủy một minion mà bạn kiểm soát theo hướng mục tiêu để chữa lành bản thân.</v>
      </c>
      <c r="L260" s="26" t="str">
        <f ca="1">IFERROR(__xludf.DUMMYFUNCTION("GOOGLETRANSLATE(B260, ""en"", ""hr"")"),"Uništite minion koji kontrolirate u ciljnom smjeru kako biste se izliječili.")</f>
        <v>Uništite minion koji kontrolirate u ciljnom smjeru kako biste se izliječili.</v>
      </c>
      <c r="M260" s="28"/>
      <c r="N260" s="28"/>
      <c r="O260" s="28"/>
      <c r="P260" s="28"/>
      <c r="Q260" s="28"/>
      <c r="R260" s="28"/>
      <c r="S260" s="28"/>
      <c r="T260" s="28"/>
      <c r="U260" s="28"/>
      <c r="V260" s="28"/>
      <c r="W260" s="28"/>
      <c r="X260" s="28"/>
      <c r="Y260" s="28"/>
      <c r="Z260" s="28"/>
      <c r="AA260" s="28"/>
      <c r="AB260" s="28"/>
    </row>
    <row r="261" spans="1:28" ht="28" x14ac:dyDescent="0.15">
      <c r="A261" s="21" t="s">
        <v>872</v>
      </c>
      <c r="B261" s="22" t="s">
        <v>873</v>
      </c>
      <c r="C261" s="23" t="str">
        <f ca="1">IFERROR(__xludf.DUMMYFUNCTION("GOOGLETRANSLATE(B261, ""en"", ""fr"")"),"Faire défiler de la mort")</f>
        <v>Faire défiler de la mort</v>
      </c>
      <c r="D261" s="23" t="str">
        <f ca="1">IFERROR(__xludf.DUMMYFUNCTION("GOOGLETRANSLATE(B261, ""en"", ""es"")"),"Desplazamiento de Deathbind")</f>
        <v>Desplazamiento de Deathbind</v>
      </c>
      <c r="E261" s="23" t="str">
        <f ca="1">IFERROR(__xludf.DUMMYFUNCTION("GOOGLETRANSLATE(B261, ""en"", ""ru"")"),"Свиток Deathbind")</f>
        <v>Свиток Deathbind</v>
      </c>
      <c r="F261" s="23" t="str">
        <f ca="1">IFERROR(__xludf.DUMMYFUNCTION("GOOGLETRANSLATE(B261, ""en"", ""tr"")"),"Deathbind'un kaydırılması")</f>
        <v>Deathbind'un kaydırılması</v>
      </c>
      <c r="G261" s="23" t="str">
        <f ca="1">IFERROR(__xludf.DUMMYFUNCTION("GOOGLETRANSLATE(B261, ""en"", ""pt"")"),"Pergaminho de Deathbind")</f>
        <v>Pergaminho de Deathbind</v>
      </c>
      <c r="H261" s="24" t="str">
        <f ca="1">IFERROR(__xludf.DUMMYFUNCTION("GOOGLETRANSLATE(B261, ""en"", ""de"")"),"Blättern Sie nach der Todesbinder")</f>
        <v>Blättern Sie nach der Todesbinder</v>
      </c>
      <c r="I261" s="23" t="str">
        <f ca="1">IFERROR(__xludf.DUMMYFUNCTION("GOOGLETRANSLATE(B261, ""en"", ""pl"")"),"Przewiń DeathBind.")</f>
        <v>Przewiń DeathBind.</v>
      </c>
      <c r="J261" s="25" t="str">
        <f ca="1">IFERROR(__xludf.DUMMYFUNCTION("GOOGLETRANSLATE(B261, ""en"", ""zh"")"),"Deathbind卷轴")</f>
        <v>Deathbind卷轴</v>
      </c>
      <c r="K261" s="25" t="str">
        <f ca="1">IFERROR(__xludf.DUMMYFUNCTION("GOOGLETRANSLATE(B261, ""en"", ""vi"")"),"Cuộn deathbind.")</f>
        <v>Cuộn deathbind.</v>
      </c>
      <c r="L261" s="26" t="str">
        <f ca="1">IFERROR(__xludf.DUMMYFUNCTION("GOOGLETRANSLATE(B261, ""en"", ""hr"")"),"Pomicanje od smrti")</f>
        <v>Pomicanje od smrti</v>
      </c>
      <c r="M261" s="28"/>
      <c r="N261" s="28"/>
      <c r="O261" s="28"/>
      <c r="P261" s="28"/>
      <c r="Q261" s="28"/>
      <c r="R261" s="28"/>
      <c r="S261" s="28"/>
      <c r="T261" s="28"/>
      <c r="U261" s="28"/>
      <c r="V261" s="28"/>
      <c r="W261" s="28"/>
      <c r="X261" s="28"/>
      <c r="Y261" s="28"/>
      <c r="Z261" s="28"/>
      <c r="AA261" s="28"/>
      <c r="AB261" s="28"/>
    </row>
    <row r="262" spans="1:28" ht="84" x14ac:dyDescent="0.15">
      <c r="A262" s="21" t="s">
        <v>874</v>
      </c>
      <c r="B262" s="22" t="s">
        <v>875</v>
      </c>
      <c r="C262" s="23" t="str">
        <f ca="1">IFERROR(__xludf.DUMMYFUNCTION("GOOGLETRANSLATE(B262, ""en"", ""fr"")"),"Maudire la cible. Quand ils meurent, ils se transforment automatiquement en une minion undead non réclamée.")</f>
        <v>Maudire la cible. Quand ils meurent, ils se transforment automatiquement en une minion undead non réclamée.</v>
      </c>
      <c r="D262" s="23" t="str">
        <f ca="1">IFERROR(__xludf.DUMMYFUNCTION("GOOGLETRANSLATE(B262, ""en"", ""es"")"),"Maldecir el objetivo. Cuando mueren, se convierten en un no-muerto no reclamado automáticamente.")</f>
        <v>Maldecir el objetivo. Cuando mueren, se convierten en un no-muerto no reclamado automáticamente.</v>
      </c>
      <c r="E262" s="23" t="str">
        <f ca="1">IFERROR(__xludf.DUMMYFUNCTION("GOOGLETRANSLATE(B262,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62" s="23" t="str">
        <f ca="1">IFERROR(__xludf.DUMMYFUNCTION("GOOGLETRANSLATE(B262, ""en"", ""tr"")"),"Hedefi lanetleyin. Öldüklerinde, otomatik olarak belirtilmemiş bir ölümsüz minyona dönüşürler.")</f>
        <v>Hedefi lanetleyin. Öldüklerinde, otomatik olarak belirtilmemiş bir ölümsüz minyona dönüşürler.</v>
      </c>
      <c r="G262" s="23" t="str">
        <f ca="1">IFERROR(__xludf.DUMMYFUNCTION("GOOGLETRANSLATE(B262, ""en"", ""pt"")"),"Amaldiçoar o alvo. Quando eles morrem, eles se transformam em uma miniço morto-vivo não reclamado automaticamente.")</f>
        <v>Amaldiçoar o alvo. Quando eles morrem, eles se transformam em uma miniço morto-vivo não reclamado automaticamente.</v>
      </c>
      <c r="H262" s="24" t="str">
        <f ca="1">IFERROR(__xludf.DUMMYFUNCTION("GOOGLETRANSLATE(B262, ""en"", ""de"")"),"Verfluchen Sie das Ziel. Wenn sie sterben, werden sie automatisch in einen nicht beanspruchten Untote-Minion.")</f>
        <v>Verfluchen Sie das Ziel. Wenn sie sterben, werden sie automatisch in einen nicht beanspruchten Untote-Minion.</v>
      </c>
      <c r="I262" s="23" t="str">
        <f ca="1">IFERROR(__xludf.DUMMYFUNCTION("GOOGLETRANSLATE(B262, ""en"", ""pl"")"),"Przeklinać cel. Kiedy umierają, odwracają się w nieograniczony nieumarły Minion automatycznie.")</f>
        <v>Przeklinać cel. Kiedy umierają, odwracają się w nieograniczony nieumarły Minion automatycznie.</v>
      </c>
      <c r="J262" s="25" t="str">
        <f ca="1">IFERROR(__xludf.DUMMYFUNCTION("GOOGLETRANSLATE(B262, ""en"", ""zh"")"),"诅咒目标。当他们死去时，他们会自动变成一个无人认领的亡灵群。")</f>
        <v>诅咒目标。当他们死去时，他们会自动变成一个无人认领的亡灵群。</v>
      </c>
      <c r="K262" s="25" t="str">
        <f ca="1">IFERROR(__xludf.DUMMYFUNCTION("GOOGLETRANSLATE(B262, ""en"", ""vi"")"),"Nguyền rủa mục tiêu. Khi họ chết, họ tự động biến thành một Minion Undead không có người nhận.")</f>
        <v>Nguyền rủa mục tiêu. Khi họ chết, họ tự động biến thành một Minion Undead không có người nhận.</v>
      </c>
      <c r="L262" s="26" t="str">
        <f ca="1">IFERROR(__xludf.DUMMYFUNCTION("GOOGLETRANSLATE(B262, ""en"", ""hr"")"),"Prokleti cilj. Kada umru, automatski se pretvaraju u nepovratni undead Minion automatski.")</f>
        <v>Prokleti cilj. Kada umru, automatski se pretvaraju u nepovratni undead Minion automatski.</v>
      </c>
      <c r="M262" s="28"/>
      <c r="N262" s="28"/>
      <c r="O262" s="28"/>
      <c r="P262" s="28"/>
      <c r="Q262" s="28"/>
      <c r="R262" s="28"/>
      <c r="S262" s="28"/>
      <c r="T262" s="28"/>
      <c r="U262" s="28"/>
      <c r="V262" s="28"/>
      <c r="W262" s="28"/>
      <c r="X262" s="28"/>
      <c r="Y262" s="28"/>
      <c r="Z262" s="28"/>
      <c r="AA262" s="28"/>
      <c r="AB262" s="28"/>
    </row>
    <row r="263" spans="1:28" ht="28" x14ac:dyDescent="0.15">
      <c r="A263" s="21" t="s">
        <v>876</v>
      </c>
      <c r="B263" s="22" t="s">
        <v>877</v>
      </c>
      <c r="C263" s="23" t="str">
        <f ca="1">IFERROR(__xludf.DUMMYFUNCTION("GOOGLETRANSLATE(B263, ""en"", ""fr"")"),"Faire défiler de l'écart")</f>
        <v>Faire défiler de l'écart</v>
      </c>
      <c r="D263" s="23" t="str">
        <f ca="1">IFERROR(__xludf.DUMMYFUNCTION("GOOGLETRANSLATE(B263, ""en"", ""es"")"),"Desplazamiento de armas")</f>
        <v>Desplazamiento de armas</v>
      </c>
      <c r="E263" s="23" t="str">
        <f ca="1">IFERROR(__xludf.DUMMYFUNCTION("GOOGLETRANSLATE(B263, ""en"", ""ru"")"),"Свиток enthrall")</f>
        <v>Свиток enthrall</v>
      </c>
      <c r="F263" s="23" t="str">
        <f ca="1">IFERROR(__xludf.DUMMYFUNCTION("GOOGLETRANSLATE(B263, ""en"", ""tr"")"),"Engellinin kaydırılması")</f>
        <v>Engellinin kaydırılması</v>
      </c>
      <c r="G263" s="23" t="str">
        <f ca="1">IFERROR(__xludf.DUMMYFUNCTION("GOOGLETRANSLATE(B263, ""en"", ""pt"")"),"Rolo de enthrall.")</f>
        <v>Rolo de enthrall.</v>
      </c>
      <c r="H263" s="24" t="str">
        <f ca="1">IFERROR(__xludf.DUMMYFUNCTION("GOOGLETRANSLATE(B263, ""en"", ""de"")"),"Blättern von Mittrall.")</f>
        <v>Blättern von Mittrall.</v>
      </c>
      <c r="I263" s="23" t="str">
        <f ca="1">IFERROR(__xludf.DUMMYFUNCTION("GOOGLETRANSLATE(B263, ""en"", ""pl"")"),"Przewiń israll.")</f>
        <v>Przewiń israll.</v>
      </c>
      <c r="J263" s="25" t="str">
        <f ca="1">IFERROR(__xludf.DUMMYFUNCTION("GOOGLETRANSLATE(B263, ""en"", ""zh"")"),"scr")</f>
        <v>scr</v>
      </c>
      <c r="K263" s="25" t="str">
        <f ca="1">IFERROR(__xludf.DUMMYFUNCTION("GOOGLETRANSLATE(B263, ""en"", ""vi"")"),"Cuộn admrall.")</f>
        <v>Cuộn admrall.</v>
      </c>
      <c r="L263" s="26" t="str">
        <f ca="1">IFERROR(__xludf.DUMMYFUNCTION("GOOGLETRANSLATE(B263, ""en"", ""hr"")"),"Pomicanje od očaranja")</f>
        <v>Pomicanje od očaranja</v>
      </c>
      <c r="M263" s="28"/>
      <c r="N263" s="28"/>
      <c r="O263" s="28"/>
      <c r="P263" s="28"/>
      <c r="Q263" s="28"/>
      <c r="R263" s="28"/>
      <c r="S263" s="28"/>
      <c r="T263" s="28"/>
      <c r="U263" s="28"/>
      <c r="V263" s="28"/>
      <c r="W263" s="28"/>
      <c r="X263" s="28"/>
      <c r="Y263" s="28"/>
      <c r="Z263" s="28"/>
      <c r="AA263" s="28"/>
      <c r="AB263" s="28"/>
    </row>
    <row r="264" spans="1:28" ht="84" x14ac:dyDescent="0.15">
      <c r="A264" s="21" t="s">
        <v>878</v>
      </c>
      <c r="B264" s="22" t="s">
        <v>879</v>
      </c>
      <c r="C264" s="23" t="str">
        <f ca="1">IFERROR(__xludf.DUMMYFUNCTION("GOOGLETRANSLATE(B264, ""en"", ""fr"")"),"Faites toutes les créatures non réclamées des morts-vivants autour de vous devenez vos minions.")</f>
        <v>Faites toutes les créatures non réclamées des morts-vivants autour de vous devenez vos minions.</v>
      </c>
      <c r="D264" s="23" t="str">
        <f ca="1">IFERROR(__xludf.DUMMYFUNCTION("GOOGLETRANSLATE(B264, ""en"", ""es"")"),"Haz que todas las criaturas no muertas no deseadas a tu alrededor se conviertan en tus secuaces.")</f>
        <v>Haz que todas las criaturas no muertas no deseadas a tu alrededor se conviertan en tus secuaces.</v>
      </c>
      <c r="E264" s="23" t="str">
        <f ca="1">IFERROR(__xludf.DUMMYFUNCTION("GOOGLETRANSLATE(B264,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4" s="23" t="str">
        <f ca="1">IFERROR(__xludf.DUMMYFUNCTION("GOOGLETRANSLATE(B264, ""en"", ""tr"")"),"Sahipsiz olmayan tüm yaşayan yaratıkları etrafınızdaki köleleriniz haline getirin.")</f>
        <v>Sahipsiz olmayan tüm yaşayan yaratıkları etrafınızdaki köleleriniz haline getirin.</v>
      </c>
      <c r="G264" s="23" t="str">
        <f ca="1">IFERROR(__xludf.DUMMYFUNCTION("GOOGLETRANSLATE(B264, ""en"", ""pt"")"),"Faça todas as criaturas mortas-moradas não reclamadas ao seu redor se tornarem seus lacaios.")</f>
        <v>Faça todas as criaturas mortas-moradas não reclamadas ao seu redor se tornarem seus lacaios.</v>
      </c>
      <c r="H264" s="24" t="str">
        <f ca="1">IFERROR(__xludf.DUMMYFUNCTION("GOOGLETRANSLATE(B264, ""en"", ""de"")"),"Machen Sie alle nicht beanspruchten Untotenkreaturen um Sie, um Ihre Scherz zu werden.")</f>
        <v>Machen Sie alle nicht beanspruchten Untotenkreaturen um Sie, um Ihre Scherz zu werden.</v>
      </c>
      <c r="I264" s="23" t="str">
        <f ca="1">IFERROR(__xludf.DUMMYFUNCTION("GOOGLETRANSLATE(B264, ""en"", ""pl"")"),"Spraw, by wszystkie nieodebrane istoty nieumarłych stały się twoimi sługami.")</f>
        <v>Spraw, by wszystkie nieodebrane istoty nieumarłych stały się twoimi sługami.</v>
      </c>
      <c r="J264" s="25" t="str">
        <f ca="1">IFERROR(__xludf.DUMMYFUNCTION("GOOGLETRANSLATE(B264, ""en"", ""zh"")"),"让所有无人认领的亡灵生物成为你的仆从。")</f>
        <v>让所有无人认领的亡灵生物成为你的仆从。</v>
      </c>
      <c r="K264" s="25" t="str">
        <f ca="1">IFERROR(__xludf.DUMMYFUNCTION("GOOGLETRANSLATE(B264, ""en"", ""vi"")"),"Làm cho tất cả các sinh vật Undead không có người nhận xung quanh bạn trở thành tay sai của bạn.")</f>
        <v>Làm cho tất cả các sinh vật Undead không có người nhận xung quanh bạn trở thành tay sai của bạn.</v>
      </c>
      <c r="L264" s="26" t="str">
        <f ca="1">IFERROR(__xludf.DUMMYFUNCTION("GOOGLETRANSLATE(B264, ""en"", ""hr"")"),"Učinite sve ne undead ne undead stvorenja oko vas postaju vaši slutići.")</f>
        <v>Učinite sve ne undead ne undead stvorenja oko vas postaju vaši slutići.</v>
      </c>
      <c r="M264" s="28"/>
      <c r="N264" s="28"/>
      <c r="O264" s="28"/>
      <c r="P264" s="28"/>
      <c r="Q264" s="28"/>
      <c r="R264" s="28"/>
      <c r="S264" s="28"/>
      <c r="T264" s="28"/>
      <c r="U264" s="28"/>
      <c r="V264" s="28"/>
      <c r="W264" s="28"/>
      <c r="X264" s="28"/>
      <c r="Y264" s="28"/>
      <c r="Z264" s="28"/>
      <c r="AA264" s="28"/>
      <c r="AB264" s="28"/>
    </row>
    <row r="265" spans="1:28" ht="14" x14ac:dyDescent="0.15">
      <c r="A265" s="21" t="s">
        <v>880</v>
      </c>
      <c r="B265" s="22" t="s">
        <v>881</v>
      </c>
      <c r="C265" s="23" t="str">
        <f ca="1">IFERROR(__xludf.DUMMYFUNCTION("GOOGLETRANSLATE(B265, ""en"", ""fr"")"),"Marteau de gloire")</f>
        <v>Marteau de gloire</v>
      </c>
      <c r="D265" s="23" t="str">
        <f ca="1">IFERROR(__xludf.DUMMYFUNCTION("GOOGLETRANSLATE(B265, ""en"", ""es"")"),"Martillo de gloria")</f>
        <v>Martillo de gloria</v>
      </c>
      <c r="E265" s="23" t="str">
        <f ca="1">IFERROR(__xludf.DUMMYFUNCTION("GOOGLETRANSLATE(B265, ""en"", ""ru"")"),"Молоток славы")</f>
        <v>Молоток славы</v>
      </c>
      <c r="F265" s="23" t="str">
        <f ca="1">IFERROR(__xludf.DUMMYFUNCTION("GOOGLETRANSLATE(B265, ""en"", ""tr"")"),"Zafer çekiç")</f>
        <v>Zafer çekiç</v>
      </c>
      <c r="G265" s="23" t="str">
        <f ca="1">IFERROR(__xludf.DUMMYFUNCTION("GOOGLETRANSLATE(B265, ""en"", ""pt"")"),"Martelo de glória")</f>
        <v>Martelo de glória</v>
      </c>
      <c r="H265" s="24" t="str">
        <f ca="1">IFERROR(__xludf.DUMMYFUNCTION("GOOGLETRANSLATE(B265, ""en"", ""de"")"),"Ruhmhammer")</f>
        <v>Ruhmhammer</v>
      </c>
      <c r="I265" s="23" t="str">
        <f ca="1">IFERROR(__xludf.DUMMYFUNCTION("GOOGLETRANSLATE(B265, ""en"", ""pl"")"),"Hammer of Glory.")</f>
        <v>Hammer of Glory.</v>
      </c>
      <c r="J265" s="25" t="str">
        <f ca="1">IFERROR(__xludf.DUMMYFUNCTION("GOOGLETRANSLATE(B265, ""en"", ""zh"")"),"荣耀的锤子")</f>
        <v>荣耀的锤子</v>
      </c>
      <c r="K265" s="25" t="str">
        <f ca="1">IFERROR(__xludf.DUMMYFUNCTION("GOOGLETRANSLATE(B265, ""en"", ""vi"")"),"Búa vinh quang")</f>
        <v>Búa vinh quang</v>
      </c>
      <c r="L265" s="26" t="str">
        <f ca="1">IFERROR(__xludf.DUMMYFUNCTION("GOOGLETRANSLATE(B265, ""en"", ""hr"")"),"Čekić slave")</f>
        <v>Čekić slave</v>
      </c>
      <c r="M265" s="28"/>
      <c r="N265" s="28"/>
      <c r="O265" s="28"/>
      <c r="P265" s="28"/>
      <c r="Q265" s="28"/>
      <c r="R265" s="28"/>
      <c r="S265" s="28"/>
      <c r="T265" s="28"/>
      <c r="U265" s="28"/>
      <c r="V265" s="28"/>
      <c r="W265" s="28"/>
      <c r="X265" s="28"/>
      <c r="Y265" s="28"/>
      <c r="Z265" s="28"/>
      <c r="AA265" s="28"/>
      <c r="AB265" s="28"/>
    </row>
    <row r="266" spans="1:28" ht="140" x14ac:dyDescent="0.15">
      <c r="A266" s="21" t="s">
        <v>882</v>
      </c>
      <c r="B266" s="22" t="s">
        <v>883</v>
      </c>
      <c r="C266" s="23" t="str">
        <f ca="1">IFERROR(__xludf.DUMMYFUNCTION("GOOGLETRANSLATE(B266,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6" s="23" t="str">
        <f ca="1">IFERROR(__xludf.DUMMYFUNCTION("GOOGLETRANSLATE(B266,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6" s="23" t="str">
        <f ca="1">IFERROR(__xludf.DUMMYFUNCTION("GOOGLETRANSLATE(B266,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6" s="23" t="str">
        <f ca="1">IFERROR(__xludf.DUMMYFUNCTION("GOOGLETRANSLATE(B266,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6" s="23" t="str">
        <f ca="1">IFERROR(__xludf.DUMMYFUNCTION("GOOGLETRANSLATE(B266,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6" s="24" t="str">
        <f ca="1">IFERROR(__xludf.DUMMYFUNCTION("GOOGLETRANSLATE(B266,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6" s="23" t="str">
        <f ca="1">IFERROR(__xludf.DUMMYFUNCTION("GOOGLETRANSLATE(B266,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6" s="25" t="str">
        <f ca="1">IFERROR(__xludf.DUMMYFUNCTION("GOOGLETRANSLATE(B266, ""en"", ""zh"")"),"遗迹。古代英雄使用的强大武器。在目标上造成破碎的骨头，并在周围的任何内容上，并将用户推回。")</f>
        <v>遗迹。古代英雄使用的强大武器。在目标上造成破碎的骨头，并在周围的任何内容上，并将用户推回。</v>
      </c>
      <c r="K266" s="25" t="str">
        <f ca="1">IFERROR(__xludf.DUMMYFUNCTION("GOOGLETRANSLATE(B266,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6" s="26" t="str">
        <f ca="1">IFERROR(__xludf.DUMMYFUNCTION("GOOGLETRANSLATE(B266, ""en"", ""hr"")"),"Relikvija. Moćno oružje koje koristi drevni heroji. Nanosi slomljena kosti na meti i na bilo čemu oko njih i gura korisnik natrag.")</f>
        <v>Relikvija. Moćno oružje koje koristi drevni heroji. Nanosi slomljena kosti na meti i na bilo čemu oko njih i gura korisnik natrag.</v>
      </c>
      <c r="M266" s="28"/>
      <c r="N266" s="28"/>
      <c r="O266" s="28"/>
      <c r="P266" s="28"/>
      <c r="Q266" s="28"/>
      <c r="R266" s="28"/>
      <c r="S266" s="28"/>
      <c r="T266" s="28"/>
      <c r="U266" s="28"/>
      <c r="V266" s="28"/>
      <c r="W266" s="28"/>
      <c r="X266" s="28"/>
      <c r="Y266" s="28"/>
      <c r="Z266" s="28"/>
      <c r="AA266" s="28"/>
      <c r="AB266" s="28"/>
    </row>
    <row r="267" spans="1:28" ht="14" x14ac:dyDescent="0.15">
      <c r="A267" s="21" t="s">
        <v>884</v>
      </c>
      <c r="B267" s="22" t="s">
        <v>885</v>
      </c>
      <c r="C267" s="23" t="str">
        <f ca="1">IFERROR(__xludf.DUMMYFUNCTION("GOOGLETRANSLATE(B267, ""en"", ""fr"")"),"Armure de colère")</f>
        <v>Armure de colère</v>
      </c>
      <c r="D267" s="23" t="str">
        <f ca="1">IFERROR(__xludf.DUMMYFUNCTION("GOOGLETRANSLATE(B267, ""en"", ""es"")"),"Armadura de la ira")</f>
        <v>Armadura de la ira</v>
      </c>
      <c r="E267" s="23" t="str">
        <f ca="1">IFERROR(__xludf.DUMMYFUNCTION("GOOGLETRANSLATE(B267, ""en"", ""ru"")"),"Доспехи IRE.")</f>
        <v>Доспехи IRE.</v>
      </c>
      <c r="F267" s="23" t="str">
        <f ca="1">IFERROR(__xludf.DUMMYFUNCTION("GOOGLETRANSLATE(B267, ""en"", ""tr"")"),"İrin zırhı")</f>
        <v>İrin zırhı</v>
      </c>
      <c r="G267" s="23" t="str">
        <f ca="1">IFERROR(__xludf.DUMMYFUNCTION("GOOGLETRANSLATE(B267, ""en"", ""pt"")"),"Armadura de IRE.")</f>
        <v>Armadura de IRE.</v>
      </c>
      <c r="H267" s="24" t="str">
        <f ca="1">IFERROR(__xludf.DUMMYFUNCTION("GOOGLETRANSLATE(B267, ""en"", ""de"")"),"Rüstung von IRE.")</f>
        <v>Rüstung von IRE.</v>
      </c>
      <c r="I267" s="23" t="str">
        <f ca="1">IFERROR(__xludf.DUMMYFUNCTION("GOOGLETRANSLATE(B267, ""en"", ""pl"")"),"Armor Iri.")</f>
        <v>Armor Iri.</v>
      </c>
      <c r="J267" s="25" t="str">
        <f ca="1">IFERROR(__xludf.DUMMYFUNCTION("GOOGLETRANSLATE(B267, ""en"", ""zh"")"),"艾尔盔甲")</f>
        <v>艾尔盔甲</v>
      </c>
      <c r="K267" s="25" t="str">
        <f ca="1">IFERROR(__xludf.DUMMYFUNCTION("GOOGLETRANSLATE(B267, ""en"", ""vi"")"),"Áo giáp của ire.")</f>
        <v>Áo giáp của ire.</v>
      </c>
      <c r="L267" s="26" t="str">
        <f ca="1">IFERROR(__xludf.DUMMYFUNCTION("GOOGLETRANSLATE(B267, ""en"", ""hr"")"),"Oklop ire")</f>
        <v>Oklop ire</v>
      </c>
      <c r="M267" s="28"/>
      <c r="N267" s="28"/>
      <c r="O267" s="28"/>
      <c r="P267" s="28"/>
      <c r="Q267" s="28"/>
      <c r="R267" s="28"/>
      <c r="S267" s="28"/>
      <c r="T267" s="28"/>
      <c r="U267" s="28"/>
      <c r="V267" s="28"/>
      <c r="W267" s="28"/>
      <c r="X267" s="28"/>
      <c r="Y267" s="28"/>
      <c r="Z267" s="28"/>
      <c r="AA267" s="28"/>
      <c r="AB267" s="28"/>
    </row>
    <row r="268" spans="1:28" ht="140" x14ac:dyDescent="0.15">
      <c r="A268" s="21" t="s">
        <v>886</v>
      </c>
      <c r="B268" s="22" t="s">
        <v>887</v>
      </c>
      <c r="C268" s="23" t="str">
        <f ca="1">IFERROR(__xludf.DUMMYFUNCTION("GOOGLETRANSLATE(B268,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8" s="23" t="str">
        <f ca="1">IFERROR(__xludf.DUMMYFUNCTION("GOOGLETRANSLATE(B268,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8" s="23" t="str">
        <f ca="1">IFERROR(__xludf.DUMMYFUNCTION("GOOGLETRANSLATE(B268,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8" s="23" t="str">
        <f ca="1">IFERROR(__xludf.DUMMYFUNCTION("GOOGLETRANSLATE(B268,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8" s="23" t="str">
        <f ca="1">IFERROR(__xludf.DUMMYFUNCTION("GOOGLETRANSLATE(B268,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8" s="24" t="str">
        <f ca="1">IFERROR(__xludf.DUMMYFUNCTION("GOOGLETRANSLATE(B268,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8" s="23" t="str">
        <f ca="1">IFERROR(__xludf.DUMMYFUNCTION("GOOGLETRANSLATE(B268,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8" s="25" t="str">
        <f ca="1">IFERROR(__xludf.DUMMYFUNCTION("GOOGLETRANSLATE(B268, ""en"", ""zh"")"),"遗迹。 Slain Demon Lord的外骨骼，他们的看法精神仍然存在。反映回到源的一部分损坏。")</f>
        <v>遗迹。 Slain Demon Lord的外骨骼，他们的看法精神仍然存在。反映回到源的一部分损坏。</v>
      </c>
      <c r="K268" s="25" t="str">
        <f ca="1">IFERROR(__xludf.DUMMYFUNCTION("GOOGLETRANSLATE(B268,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8" s="26" t="str">
        <f ca="1">IFERROR(__xludf.DUMMYFUNCTION("GOOGLETRANSLATE(B268,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8" s="28"/>
      <c r="N268" s="28"/>
      <c r="O268" s="28"/>
      <c r="P268" s="28"/>
      <c r="Q268" s="28"/>
      <c r="R268" s="28"/>
      <c r="S268" s="28"/>
      <c r="T268" s="28"/>
      <c r="U268" s="28"/>
      <c r="V268" s="28"/>
      <c r="W268" s="28"/>
      <c r="X268" s="28"/>
      <c r="Y268" s="28"/>
      <c r="Z268" s="28"/>
      <c r="AA268" s="28"/>
      <c r="AB268" s="28"/>
    </row>
    <row r="269" spans="1:28" ht="14" x14ac:dyDescent="0.15">
      <c r="A269" s="21" t="s">
        <v>888</v>
      </c>
      <c r="B269" s="22" t="s">
        <v>889</v>
      </c>
      <c r="C269" s="23" t="str">
        <f ca="1">IFERROR(__xludf.DUMMYFUNCTION("GOOGLETRANSLATE(B269, ""en"", ""fr"")"),"Hellérant")</f>
        <v>Hellérant</v>
      </c>
      <c r="D269" s="23" t="str">
        <f ca="1">IFERROR(__xludf.DUMMYFUNCTION("GOOGLETRANSLATE(B269, ""en"", ""es"")"),"Hellraiser")</f>
        <v>Hellraiser</v>
      </c>
      <c r="E269" s="23" t="str">
        <f ca="1">IFERROR(__xludf.DUMMYFUNCTION("GOOGLETRANSLATE(B269, ""en"", ""ru"")"),"Эллизер")</f>
        <v>Эллизер</v>
      </c>
      <c r="F269" s="23" t="str">
        <f ca="1">IFERROR(__xludf.DUMMYFUNCTION("GOOGLETRANSLATE(B269, ""en"", ""tr"")"),"Hellraiser")</f>
        <v>Hellraiser</v>
      </c>
      <c r="G269" s="23" t="str">
        <f ca="1">IFERROR(__xludf.DUMMYFUNCTION("GOOGLETRANSLATE(B269, ""en"", ""pt"")"),"Hellraiser")</f>
        <v>Hellraiser</v>
      </c>
      <c r="H269" s="24" t="str">
        <f ca="1">IFERROR(__xludf.DUMMYFUNCTION("GOOGLETRANSLATE(B269, ""en"", ""de"")"),"Hellraiser")</f>
        <v>Hellraiser</v>
      </c>
      <c r="I269" s="23" t="str">
        <f ca="1">IFERROR(__xludf.DUMMYFUNCTION("GOOGLETRANSLATE(B269, ""en"", ""pl"")"),"Hellraiser.")</f>
        <v>Hellraiser.</v>
      </c>
      <c r="J269" s="25" t="str">
        <f ca="1">IFERROR(__xludf.DUMMYFUNCTION("GOOGLETRANSLATE(B269, ""en"", ""zh"")"),"hellraiser.")</f>
        <v>hellraiser.</v>
      </c>
      <c r="K269" s="25" t="str">
        <f ca="1">IFERROR(__xludf.DUMMYFUNCTION("GOOGLETRANSLATE(B269, ""en"", ""vi"")"),"Hellraiser.")</f>
        <v>Hellraiser.</v>
      </c>
      <c r="L269" s="26" t="str">
        <f ca="1">IFERROR(__xludf.DUMMYFUNCTION("GOOGLETRANSLATE(B269, ""en"", ""hr"")"),"Hellaiser")</f>
        <v>Hellaiser</v>
      </c>
      <c r="M269" s="28"/>
      <c r="N269" s="28"/>
      <c r="O269" s="28"/>
      <c r="P269" s="28"/>
      <c r="Q269" s="28"/>
      <c r="R269" s="28"/>
      <c r="S269" s="28"/>
      <c r="T269" s="28"/>
      <c r="U269" s="28"/>
      <c r="V269" s="28"/>
      <c r="W269" s="28"/>
      <c r="X269" s="28"/>
      <c r="Y269" s="28"/>
      <c r="Z269" s="28"/>
      <c r="AA269" s="28"/>
      <c r="AB269" s="28"/>
    </row>
    <row r="270" spans="1:28" ht="112" x14ac:dyDescent="0.15">
      <c r="A270" s="21" t="s">
        <v>890</v>
      </c>
      <c r="B270" s="22" t="s">
        <v>891</v>
      </c>
      <c r="C270" s="23" t="str">
        <f ca="1">IFERROR(__xludf.DUMMYFUNCTION("GOOGLETRANSLATE(B270,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70" s="23" t="str">
        <f ca="1">IFERROR(__xludf.DUMMYFUNCTION("GOOGLETRANSLATE(B270,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70" s="23" t="str">
        <f ca="1">IFERROR(__xludf.DUMMYFUNCTION("GOOGLETRANSLATE(B270,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70" s="23" t="str">
        <f ca="1">IFERROR(__xludf.DUMMYFUNCTION("GOOGLETRANSLATE(B270,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70" s="23" t="str">
        <f ca="1">IFERROR(__xludf.DUMMYFUNCTION("GOOGLETRANSLATE(B270,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70" s="24" t="str">
        <f ca="1">IFERROR(__xludf.DUMMYFUNCTION("GOOGLETRANSLATE(B270,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70" s="23" t="str">
        <f ca="1">IFERROR(__xludf.DUMMYFUNCTION("GOOGLETRANSLATE(B270, ""en"", ""pl"")"),"Relikt. Oderwija szczelinę w podziemia, pozwalając płomieniom w wybuchu. Strzela fala ognia, ale także pali użytkownika.")</f>
        <v>Relikt. Oderwija szczelinę w podziemia, pozwalając płomieniom w wybuchu. Strzela fala ognia, ale także pali użytkownika.</v>
      </c>
      <c r="J270" s="25" t="str">
        <f ca="1">IFERROR(__xludf.DUMMYFUNCTION("GOOGLETRANSLATE(B270, ""en"", ""zh"")"),"遗迹。撕裂进入黑社会，让火焰爆发。拍摄一波火，也烧伤了用户。")</f>
        <v>遗迹。撕裂进入黑社会，让火焰爆发。拍摄一波火，也烧伤了用户。</v>
      </c>
      <c r="K270" s="25" t="str">
        <f ca="1">IFERROR(__xludf.DUMMYFUNCTION("GOOGLETRANSLATE(B270,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70" s="26" t="str">
        <f ca="1">IFERROR(__xludf.DUMMYFUNCTION("GOOGLETRANSLATE(B270, ""en"", ""hr"")"),"Relikvija. Suze raskol u podzemni svijet, dopuštajući plamenu uprskati. Pucajte val vatre, ali također gori korisnik.")</f>
        <v>Relikvija. Suze raskol u podzemni svijet, dopuštajući plamenu uprskati. Pucajte val vatre, ali također gori korisnik.</v>
      </c>
      <c r="M270" s="28"/>
      <c r="N270" s="28"/>
      <c r="O270" s="28"/>
      <c r="P270" s="28"/>
      <c r="Q270" s="28"/>
      <c r="R270" s="28"/>
      <c r="S270" s="28"/>
      <c r="T270" s="28"/>
      <c r="U270" s="28"/>
      <c r="V270" s="28"/>
      <c r="W270" s="28"/>
      <c r="X270" s="28"/>
      <c r="Y270" s="28"/>
      <c r="Z270" s="28"/>
      <c r="AA270" s="28"/>
      <c r="AB270" s="28"/>
    </row>
    <row r="271" spans="1:28" ht="14" x14ac:dyDescent="0.15">
      <c r="A271" s="21" t="s">
        <v>892</v>
      </c>
      <c r="B271" s="22" t="s">
        <v>893</v>
      </c>
      <c r="C271" s="23" t="str">
        <f ca="1">IFERROR(__xludf.DUMMYFUNCTION("GOOGLETRANSLATE(B271, ""en"", ""fr"")"),"Galest")</f>
        <v>Galest</v>
      </c>
      <c r="D271" s="23" t="str">
        <f ca="1">IFERROR(__xludf.DUMMYFUNCTION("GOOGLETRANSLATE(B271, ""en"", ""es"")"),"Galestorm")</f>
        <v>Galestorm</v>
      </c>
      <c r="E271" s="23" t="str">
        <f ca="1">IFERROR(__xludf.DUMMYFUNCTION("GOOGLETRANSLATE(B271, ""en"", ""ru"")"),"Галсторм")</f>
        <v>Галсторм</v>
      </c>
      <c r="F271" s="23" t="str">
        <f ca="1">IFERROR(__xludf.DUMMYFUNCTION("GOOGLETRANSLATE(B271, ""en"", ""tr"")"),"Galesit")</f>
        <v>Galesit</v>
      </c>
      <c r="G271" s="23" t="str">
        <f ca="1">IFERROR(__xludf.DUMMYFUNCTION("GOOGLETRANSLATE(B271, ""en"", ""pt"")"),"GALESTORM.")</f>
        <v>GALESTORM.</v>
      </c>
      <c r="H271" s="24" t="str">
        <f ca="1">IFERROR(__xludf.DUMMYFUNCTION("GOOGLETRANSLATE(B271, ""en"", ""de"")"),"Galestorm.")</f>
        <v>Galestorm.</v>
      </c>
      <c r="I271" s="23" t="str">
        <f ca="1">IFERROR(__xludf.DUMMYFUNCTION("GOOGLETRANSLATE(B271, ""en"", ""pl"")"),"Galestorm")</f>
        <v>Galestorm</v>
      </c>
      <c r="J271" s="25" t="str">
        <f ca="1">IFERROR(__xludf.DUMMYFUNCTION("GOOGLETRANSLATE(B271, ""en"", ""zh"")"),"Galestorm.")</f>
        <v>Galestorm.</v>
      </c>
      <c r="K271" s="25" t="str">
        <f ca="1">IFERROR(__xludf.DUMMYFUNCTION("GOOGLETRANSLATE(B271, ""en"", ""vi"")"),"Galestorm.")</f>
        <v>Galestorm.</v>
      </c>
      <c r="L271" s="26" t="str">
        <f ca="1">IFERROR(__xludf.DUMMYFUNCTION("GOOGLETRANSLATE(B271, ""en"", ""hr"")"),"Galestorm")</f>
        <v>Galestorm</v>
      </c>
      <c r="M271" s="28"/>
      <c r="N271" s="28"/>
      <c r="O271" s="28"/>
      <c r="P271" s="28"/>
      <c r="Q271" s="28"/>
      <c r="R271" s="28"/>
      <c r="S271" s="28"/>
      <c r="T271" s="28"/>
      <c r="U271" s="28"/>
      <c r="V271" s="28"/>
      <c r="W271" s="28"/>
      <c r="X271" s="28"/>
      <c r="Y271" s="28"/>
      <c r="Z271" s="28"/>
      <c r="AA271" s="28"/>
      <c r="AB271" s="28"/>
    </row>
    <row r="272" spans="1:28" ht="140" x14ac:dyDescent="0.15">
      <c r="A272" s="21" t="s">
        <v>894</v>
      </c>
      <c r="B272" s="22" t="s">
        <v>895</v>
      </c>
      <c r="C272" s="23" t="str">
        <f ca="1">IFERROR(__xludf.DUMMYFUNCTION("GOOGLETRANSLATE(B272,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72" s="23" t="str">
        <f ca="1">IFERROR(__xludf.DUMMYFUNCTION("GOOGLETRANSLATE(B272,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72" s="23" t="str">
        <f ca="1">IFERROR(__xludf.DUMMYFUNCTION("GOOGLETRANSLATE(B272,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72" s="23" t="str">
        <f ca="1">IFERROR(__xludf.DUMMYFUNCTION("GOOGLETRANSLATE(B272,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72" s="23" t="str">
        <f ca="1">IFERROR(__xludf.DUMMYFUNCTION("GOOGLETRANSLATE(B272,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72" s="24" t="str">
        <f ca="1">IFERROR(__xludf.DUMMYFUNCTION("GOOGLETRANSLATE(B272,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72" s="23" t="str">
        <f ca="1">IFERROR(__xludf.DUMMYFUNCTION("GOOGLETRANSLATE(B272,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72" s="25" t="str">
        <f ca="1">IFERROR(__xludf.DUMMYFUNCTION("GOOGLETRANSLATE(B272, ""en"", ""zh"")"),"遗迹。海盗水手用于推动他们的船只。通过收集它创造的龙卷风，射击一股风流。")</f>
        <v>遗迹。海盗水手用于推动他们的船只。通过收集它创造的龙卷风，射击一股风流。</v>
      </c>
      <c r="K272" s="25" t="str">
        <f ca="1">IFERROR(__xludf.DUMMYFUNCTION("GOOGLETRANSLATE(B272,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72" s="26" t="str">
        <f ca="1">IFERROR(__xludf.DUMMYFUNCTION("GOOGLETRANSLATE(B272,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72" s="28"/>
      <c r="N272" s="28"/>
      <c r="O272" s="28"/>
      <c r="P272" s="28"/>
      <c r="Q272" s="28"/>
      <c r="R272" s="28"/>
      <c r="S272" s="28"/>
      <c r="T272" s="28"/>
      <c r="U272" s="28"/>
      <c r="V272" s="28"/>
      <c r="W272" s="28"/>
      <c r="X272" s="28"/>
      <c r="Y272" s="28"/>
      <c r="Z272" s="28"/>
      <c r="AA272" s="28"/>
      <c r="AB272" s="28"/>
    </row>
    <row r="273" spans="1:28" ht="14" x14ac:dyDescent="0.15">
      <c r="A273" s="21" t="s">
        <v>896</v>
      </c>
      <c r="B273" s="22" t="s">
        <v>897</v>
      </c>
      <c r="C273" s="23" t="str">
        <f ca="1">IFERROR(__xludf.DUMMYFUNCTION("GOOGLETRANSLATE(B273, ""en"", ""fr"")"),"Étherweave")</f>
        <v>Étherweave</v>
      </c>
      <c r="D273" s="23" t="str">
        <f ca="1">IFERROR(__xludf.DUMMYFUNCTION("GOOGLETRANSLATE(B273, ""en"", ""es"")"),"Etherweave")</f>
        <v>Etherweave</v>
      </c>
      <c r="E273" s="23" t="str">
        <f ca="1">IFERROR(__xludf.DUMMYFUNCTION("GOOGLETRANSLATE(B273, ""en"", ""ru"")"),"Etherweave.")</f>
        <v>Etherweave.</v>
      </c>
      <c r="F273" s="23" t="str">
        <f ca="1">IFERROR(__xludf.DUMMYFUNCTION("GOOGLETRANSLATE(B273, ""en"", ""tr"")"),"Etherweave")</f>
        <v>Etherweave</v>
      </c>
      <c r="G273" s="23" t="str">
        <f ca="1">IFERROR(__xludf.DUMMYFUNCTION("GOOGLETRANSLATE(B273, ""en"", ""pt"")"),"Etherweave")</f>
        <v>Etherweave</v>
      </c>
      <c r="H273" s="24" t="str">
        <f ca="1">IFERROR(__xludf.DUMMYFUNCTION("GOOGLETRANSLATE(B273, ""en"", ""de"")"),"Etherweave.")</f>
        <v>Etherweave.</v>
      </c>
      <c r="I273" s="23" t="str">
        <f ca="1">IFERROR(__xludf.DUMMYFUNCTION("GOOGLETRANSLATE(B273, ""en"", ""pl"")"),"Eterowy")</f>
        <v>Eterowy</v>
      </c>
      <c r="J273" s="25" t="str">
        <f ca="1">IFERROR(__xludf.DUMMYFUNCTION("GOOGLETRANSLATE(B273, ""en"", ""zh"")"),"以太织物")</f>
        <v>以太织物</v>
      </c>
      <c r="K273" s="25" t="str">
        <f ca="1">IFERROR(__xludf.DUMMYFUNCTION("GOOGLETRANSLATE(B273, ""en"", ""vi"")"),"Etherweave.")</f>
        <v>Etherweave.</v>
      </c>
      <c r="L273" s="26" t="str">
        <f ca="1">IFERROR(__xludf.DUMMYFUNCTION("GOOGLETRANSLATE(B273, ""en"", ""hr"")"),"Etherweave")</f>
        <v>Etherweave</v>
      </c>
      <c r="M273" s="28"/>
      <c r="N273" s="28"/>
      <c r="O273" s="28"/>
      <c r="P273" s="28"/>
      <c r="Q273" s="28"/>
      <c r="R273" s="28"/>
      <c r="S273" s="28"/>
      <c r="T273" s="28"/>
      <c r="U273" s="28"/>
      <c r="V273" s="28"/>
      <c r="W273" s="28"/>
      <c r="X273" s="28"/>
      <c r="Y273" s="28"/>
      <c r="Z273" s="28"/>
      <c r="AA273" s="28"/>
      <c r="AB273" s="28"/>
    </row>
    <row r="274" spans="1:28" ht="112" x14ac:dyDescent="0.15">
      <c r="A274" s="21" t="s">
        <v>898</v>
      </c>
      <c r="B274" s="22" t="s">
        <v>899</v>
      </c>
      <c r="C274" s="23" t="str">
        <f ca="1">IFERROR(__xludf.DUMMYFUNCTION("GOOGLETRANSLATE(B274, ""en"", ""fr"")"),"Relique. Un vêtement porté par des habitants de l'avion astral. Restaure l'énergie du porteur lorsqu'il est endommagé.")</f>
        <v>Relique. Un vêtement porté par des habitants de l'avion astral. Restaure l'énergie du porteur lorsqu'il est endommagé.</v>
      </c>
      <c r="D274" s="23" t="str">
        <f ca="1">IFERROR(__xludf.DUMMYFUNCTION("GOOGLETRANSLATE(B274, ""en"", ""es"")"),"Reliquia. Una prenda usada por los habitantes del plano astral. Restaura la energía del usuario cuando está dañado.")</f>
        <v>Reliquia. Una prenda usada por los habitantes del plano astral. Restaura la energía del usuario cuando está dañado.</v>
      </c>
      <c r="E274" s="23" t="str">
        <f ca="1">IFERROR(__xludf.DUMMYFUNCTION("GOOGLETRANSLATE(B274,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4" s="23" t="str">
        <f ca="1">IFERROR(__xludf.DUMMYFUNCTION("GOOGLETRANSLATE(B274, ""en"", ""tr"")"),"Kalıntı. Astral uçağın sakinleri tarafından giyilen bir giysi. Hasar gördüğünde kullanıcının enerjisini geri yükler.")</f>
        <v>Kalıntı. Astral uçağın sakinleri tarafından giyilen bir giysi. Hasar gördüğünde kullanıcının enerjisini geri yükler.</v>
      </c>
      <c r="G274" s="23" t="str">
        <f ca="1">IFERROR(__xludf.DUMMYFUNCTION("GOOGLETRANSLATE(B274, ""en"", ""pt"")"),"Relíquia. Uma vestimenta usada por habitantes do plano astral. Restaura a energia do usuário quando danificada.")</f>
        <v>Relíquia. Uma vestimenta usada por habitantes do plano astral. Restaura a energia do usuário quando danificada.</v>
      </c>
      <c r="H274" s="24" t="str">
        <f ca="1">IFERROR(__xludf.DUMMYFUNCTION("GOOGLETRANSLATE(B274,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4" s="23" t="str">
        <f ca="1">IFERROR(__xludf.DUMMYFUNCTION("GOOGLETRANSLATE(B274, ""en"", ""pl"")"),"Relikt. Odzież noszona przez mieszkańców samolotu astralnego. Przywraca energię użytkownika, gdy zostanie uszkodzony.")</f>
        <v>Relikt. Odzież noszona przez mieszkańców samolotu astralnego. Przywraca energię użytkownika, gdy zostanie uszkodzony.</v>
      </c>
      <c r="J274" s="25" t="str">
        <f ca="1">IFERROR(__xludf.DUMMYFUNCTION("GOOGLETRANSLATE(B274, ""en"", ""zh"")"),"遗迹。居住者穿着星空飞机的衣服。损坏时恢复佩戴者的能量。")</f>
        <v>遗迹。居住者穿着星空飞机的衣服。损坏时恢复佩戴者的能量。</v>
      </c>
      <c r="K274" s="25" t="str">
        <f ca="1">IFERROR(__xludf.DUMMYFUNCTION("GOOGLETRANSLATE(B274,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4" s="26" t="str">
        <f ca="1">IFERROR(__xludf.DUMMYFUNCTION("GOOGLETRANSLATE(B274, ""en"", ""hr"")"),"Relikvija. Odjeću koju nosi stanovnici astralne ravnine. Vraća energiju nositelja kada je oštećena.")</f>
        <v>Relikvija. Odjeću koju nosi stanovnici astralne ravnine. Vraća energiju nositelja kada je oštećena.</v>
      </c>
      <c r="M274" s="28"/>
      <c r="N274" s="28"/>
      <c r="O274" s="28"/>
      <c r="P274" s="28"/>
      <c r="Q274" s="28"/>
      <c r="R274" s="28"/>
      <c r="S274" s="28"/>
      <c r="T274" s="28"/>
      <c r="U274" s="28"/>
      <c r="V274" s="28"/>
      <c r="W274" s="28"/>
      <c r="X274" s="28"/>
      <c r="Y274" s="28"/>
      <c r="Z274" s="28"/>
      <c r="AA274" s="28"/>
      <c r="AB274" s="28"/>
    </row>
    <row r="275" spans="1:28" ht="14" x14ac:dyDescent="0.15">
      <c r="A275" s="21" t="s">
        <v>900</v>
      </c>
      <c r="B275" s="22" t="s">
        <v>901</v>
      </c>
      <c r="C275" s="23" t="str">
        <f ca="1">IFERROR(__xludf.DUMMYFUNCTION("GOOGLETRANSLATE(B275, ""en"", ""fr"")"),"Malade")</f>
        <v>Malade</v>
      </c>
      <c r="D275" s="23" t="str">
        <f ca="1">IFERROR(__xludf.DUMMYFUNCTION("GOOGLETRANSLATE(B275, ""en"", ""es"")"),"Mal presagio")</f>
        <v>Mal presagio</v>
      </c>
      <c r="E275" s="23" t="str">
        <f ca="1">IFERROR(__xludf.DUMMYFUNCTION("GOOGLETRANSLATE(B275, ""en"", ""ru"")"),"Плохо omen.")</f>
        <v>Плохо omen.</v>
      </c>
      <c r="F275" s="23" t="str">
        <f ca="1">IFERROR(__xludf.DUMMYFUNCTION("GOOGLETRANSLATE(B275, ""en"", ""tr"")"),"Hasta omen")</f>
        <v>Hasta omen</v>
      </c>
      <c r="G275" s="23" t="str">
        <f ca="1">IFERROR(__xludf.DUMMYFUNCTION("GOOGLETRANSLATE(B275, ""en"", ""pt"")"),"Mau agouro")</f>
        <v>Mau agouro</v>
      </c>
      <c r="H275" s="24" t="str">
        <f ca="1">IFERROR(__xludf.DUMMYFUNCTION("GOOGLETRANSLATE(B275, ""en"", ""de"")"),"Krank ungen")</f>
        <v>Krank ungen</v>
      </c>
      <c r="I275" s="23" t="str">
        <f ca="1">IFERROR(__xludf.DUMMYFUNCTION("GOOGLETRANSLATE(B275, ""en"", ""pl"")"),"Źle omen.")</f>
        <v>Źle omen.</v>
      </c>
      <c r="J275" s="25" t="str">
        <f ca="1">IFERROR(__xludf.DUMMYFUNCTION("GOOGLETRANSLATE(B275, ""en"", ""zh"")"),"生病了")</f>
        <v>生病了</v>
      </c>
      <c r="K275" s="25" t="str">
        <f ca="1">IFERROR(__xludf.DUMMYFUNCTION("GOOGLETRANSLATE(B275, ""en"", ""vi"")"),"Điềm xấu")</f>
        <v>Điềm xấu</v>
      </c>
      <c r="L275" s="26" t="str">
        <f ca="1">IFERROR(__xludf.DUMMYFUNCTION("GOOGLETRANSLATE(B275, ""en"", ""hr"")"),"Bolestan")</f>
        <v>Bolestan</v>
      </c>
      <c r="M275" s="28"/>
      <c r="N275" s="28"/>
      <c r="O275" s="28"/>
      <c r="P275" s="28"/>
      <c r="Q275" s="28"/>
      <c r="R275" s="28"/>
      <c r="S275" s="28"/>
      <c r="T275" s="28"/>
      <c r="U275" s="28"/>
      <c r="V275" s="28"/>
      <c r="W275" s="28"/>
      <c r="X275" s="28"/>
      <c r="Y275" s="28"/>
      <c r="Z275" s="28"/>
      <c r="AA275" s="28"/>
      <c r="AB275" s="28"/>
    </row>
    <row r="276" spans="1:28" ht="126" x14ac:dyDescent="0.15">
      <c r="A276" s="21" t="s">
        <v>902</v>
      </c>
      <c r="B276" s="22" t="s">
        <v>903</v>
      </c>
      <c r="C276" s="23" t="str">
        <f ca="1">IFERROR(__xludf.DUMMYFUNCTION("GOOGLETRANSLATE(B276, ""en"", ""fr"")"),"Relique. Un arc maudit qui apporte malheur à ceux qui s'adressent. Inflige une malédiction quand il frappe qui inflige des dégâts après un retard.")</f>
        <v>Relique. Un arc maudit qui apporte malheur à ceux qui s'adressent. Inflige une malédiction quand il frappe qui inflige des dégâts après un retard.</v>
      </c>
      <c r="D276" s="23" t="str">
        <f ca="1">IFERROR(__xludf.DUMMYFUNCTION("GOOGLETRANSLATE(B276, ""en"", ""es"")"),"Reliquia. Un arco maldito que lleva la desgracia a aquellos que está dirigido. Inflige una maldición cuando golpea que se ocupa de daños después de un retraso.")</f>
        <v>Reliquia. Un arco maldito que lleva la desgracia a aquellos que está dirigido. Inflige una maldición cuando golpea que se ocupa de daños después de un retraso.</v>
      </c>
      <c r="E276" s="23" t="str">
        <f ca="1">IFERROR(__xludf.DUMMYFUNCTION("GOOGLETRANSLATE(B276, ""en"", ""ru"")"),"Реликвии. Проклятый лук, который приносит несчастье для тех, кто он нацелен. Наносит проклятие, когда он попадает, это наносит урон после задержки.")</f>
        <v>Реликвии. Проклятый лук, который приносит несчастье для тех, кто он нацелен. Наносит проклятие, когда он попадает, это наносит урон после задержки.</v>
      </c>
      <c r="F276" s="23" t="str">
        <f ca="1">IFERROR(__xludf.DUMMYFUNCTION("GOOGLETRANSLATE(B276, ""en"", ""tr"")"),"Kalıntı. Amaçlananlara talihsizlik getiren lanetli bir yay. Gecikmeden sonra hasar veren isabet ettiğinde bir lanet verir.")</f>
        <v>Kalıntı. Amaçlananlara talihsizlik getiren lanetli bir yay. Gecikmeden sonra hasar veren isabet ettiğinde bir lanet verir.</v>
      </c>
      <c r="G276" s="23" t="str">
        <f ca="1">IFERROR(__xludf.DUMMYFUNCTION("GOOGLETRANSLATE(B276, ""en"", ""pt"")"),"Relíquia. Um arco amaldiçoado que traz infortúnio para aqueles que é destinado a. Causa uma maldição quando atinge que causa dano após um atraso.")</f>
        <v>Relíquia. Um arco amaldiçoado que traz infortúnio para aqueles que é destinado a. Causa uma maldição quando atinge que causa dano após um atraso.</v>
      </c>
      <c r="H276" s="24" t="str">
        <f ca="1">IFERROR(__xludf.DUMMYFUNCTION("GOOGLETRANSLATE(B276, ""en"", ""de"")"),"Relikt. Ein verfluchter Bogen, der das Unglück an diejenigen bringt, an die es richtet. Fügt einem Fluch zu, wenn er trifft, um nach einer Verzögerung Schaden zu verursachen.")</f>
        <v>Relikt. Ein verfluchter Bogen, der das Unglück an diejenigen bringt, an die es richtet. Fügt einem Fluch zu, wenn er trifft, um nach einer Verzögerung Schaden zu verursachen.</v>
      </c>
      <c r="I276" s="23" t="str">
        <f ca="1">IFERROR(__xludf.DUMMYFUNCTION("GOOGLETRANSLATE(B276, ""en"", ""pl"")"),"Relikt. Przeklęty łuk, który przynosi nieszczęście do tych, na których ma na celu. Zadawanie przekleństwa, gdy uderza, co dotyczy obrażeń po opóźnieniu.")</f>
        <v>Relikt. Przeklęty łuk, który przynosi nieszczęście do tych, na których ma na celu. Zadawanie przekleństwa, gdy uderza, co dotyczy obrażeń po opóźnieniu.</v>
      </c>
      <c r="J276" s="25" t="str">
        <f ca="1">IFERROR(__xludf.DUMMYFUNCTION("GOOGLETRANSLATE(B276, ""en"", ""zh"")"),"遗迹。诅咒弓，为它的目标带来不幸。当它达到延迟后造成伤害时造成诅咒。")</f>
        <v>遗迹。诅咒弓，为它的目标带来不幸。当它达到延迟后造成伤害时造成诅咒。</v>
      </c>
      <c r="K276" s="25" t="str">
        <f ca="1">IFERROR(__xludf.DUMMYFUNCTION("GOOGLETRANSLATE(B276, ""en"", ""vi"")"),"Thánh tích. Một cây cung bị nguyền rủa mang lại bất hạnh cho những người đó là nhắm vào. Gây ra một lời nguyền khi nó đạt thiệt hại gây thiệt hại sau một sự chậm trễ.")</f>
        <v>Thánh tích. Một cây cung bị nguyền rủa mang lại bất hạnh cho những người đó là nhắm vào. Gây ra một lời nguyền khi nó đạt thiệt hại gây thiệt hại sau một sự chậm trễ.</v>
      </c>
      <c r="L276" s="26" t="str">
        <f ca="1">IFERROR(__xludf.DUMMYFUNCTION("GOOGLETRANSLATE(B276, ""en"", ""hr"")"),"Relikvija. Proklet luk koji donosi nesreću onima kojima je usmjeren. Nanosi prokletstvo kada pogodi da se štedi nakon kašnjenja.")</f>
        <v>Relikvija. Proklet luk koji donosi nesreću onima kojima je usmjeren. Nanosi prokletstvo kada pogodi da se štedi nakon kašnjenja.</v>
      </c>
      <c r="M276" s="28"/>
      <c r="N276" s="28"/>
      <c r="O276" s="28"/>
      <c r="P276" s="28"/>
      <c r="Q276" s="28"/>
      <c r="R276" s="28"/>
      <c r="S276" s="28"/>
      <c r="T276" s="28"/>
      <c r="U276" s="28"/>
      <c r="V276" s="28"/>
      <c r="W276" s="28"/>
      <c r="X276" s="28"/>
      <c r="Y276" s="28"/>
      <c r="Z276" s="28"/>
      <c r="AA276" s="28"/>
      <c r="AB276" s="28"/>
    </row>
    <row r="277" spans="1:28" ht="13" x14ac:dyDescent="0.15">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spans="1:28" ht="13" x14ac:dyDescent="0.15">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spans="1:28" ht="13" x14ac:dyDescent="0.15">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spans="1:28" ht="13" x14ac:dyDescent="0.15">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spans="1:28" ht="13" x14ac:dyDescent="0.15">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spans="1:28" ht="13" x14ac:dyDescent="0.15">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spans="1:28" ht="13" x14ac:dyDescent="0.15">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spans="1:28" ht="13" x14ac:dyDescent="0.15">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spans="1:28" ht="13" x14ac:dyDescent="0.1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spans="1:28" ht="13" x14ac:dyDescent="0.15">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spans="1:28" ht="13" x14ac:dyDescent="0.15">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spans="1:28" ht="13" x14ac:dyDescent="0.15">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spans="1:28" ht="13" x14ac:dyDescent="0.15">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spans="1:28" ht="13" x14ac:dyDescent="0.15">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spans="1:28" ht="13" x14ac:dyDescent="0.15">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spans="1:28" ht="13" x14ac:dyDescent="0.15">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spans="1:28" ht="13" x14ac:dyDescent="0.15">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spans="1:28" ht="13" x14ac:dyDescent="0.15">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spans="1:28" ht="13" x14ac:dyDescent="0.1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spans="1:28" ht="13" x14ac:dyDescent="0.15">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spans="1:28" ht="13" x14ac:dyDescent="0.15">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spans="1:28" ht="13" x14ac:dyDescent="0.15">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spans="1:28" ht="13" x14ac:dyDescent="0.15">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spans="1:28" ht="13" x14ac:dyDescent="0.15">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spans="1:28" ht="13" x14ac:dyDescent="0.15">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spans="1:28" ht="13" x14ac:dyDescent="0.15">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spans="1:28" ht="13" x14ac:dyDescent="0.15">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spans="1:28" ht="13" x14ac:dyDescent="0.15">
      <c r="A304" s="34"/>
      <c r="B304" s="35"/>
      <c r="C304" s="30"/>
      <c r="D304" s="30"/>
      <c r="E304" s="30"/>
      <c r="F304" s="30"/>
      <c r="G304" s="30"/>
      <c r="H304" s="31"/>
      <c r="I304" s="30"/>
      <c r="J304" s="32"/>
      <c r="K304" s="32"/>
      <c r="L304" s="33"/>
      <c r="M304" s="28"/>
      <c r="N304" s="28"/>
      <c r="O304" s="28"/>
      <c r="P304" s="28"/>
      <c r="Q304" s="28"/>
      <c r="R304" s="28"/>
      <c r="S304" s="28"/>
      <c r="T304" s="28"/>
      <c r="U304" s="28"/>
      <c r="V304" s="28"/>
      <c r="W304" s="28"/>
      <c r="X304" s="28"/>
      <c r="Y304" s="28"/>
      <c r="Z304" s="28"/>
      <c r="AA304" s="28"/>
      <c r="AB304" s="28"/>
    </row>
    <row r="305" spans="1:28" ht="13" x14ac:dyDescent="0.15">
      <c r="A305" s="34"/>
      <c r="B305" s="35"/>
      <c r="C305" s="30"/>
      <c r="D305" s="30"/>
      <c r="E305" s="30"/>
      <c r="F305" s="30"/>
      <c r="G305" s="30"/>
      <c r="H305" s="31"/>
      <c r="I305" s="30"/>
      <c r="J305" s="32"/>
      <c r="K305" s="32"/>
      <c r="L305" s="33"/>
      <c r="M305" s="28"/>
      <c r="N305" s="28"/>
      <c r="O305" s="28"/>
      <c r="P305" s="28"/>
      <c r="Q305" s="28"/>
      <c r="R305" s="28"/>
      <c r="S305" s="28"/>
      <c r="T305" s="28"/>
      <c r="U305" s="28"/>
      <c r="V305" s="28"/>
      <c r="W305" s="28"/>
      <c r="X305" s="28"/>
      <c r="Y305" s="28"/>
      <c r="Z305" s="28"/>
      <c r="AA305" s="28"/>
      <c r="AB305" s="28"/>
    </row>
    <row r="306" spans="1:28" ht="13" x14ac:dyDescent="0.15">
      <c r="A306" s="34"/>
      <c r="B306" s="35"/>
      <c r="C306" s="30"/>
      <c r="D306" s="30"/>
      <c r="E306" s="30"/>
      <c r="F306" s="30"/>
      <c r="G306" s="30"/>
      <c r="H306" s="31"/>
      <c r="I306" s="30"/>
      <c r="J306" s="32"/>
      <c r="K306" s="32"/>
      <c r="L306" s="33"/>
      <c r="M306" s="28"/>
      <c r="N306" s="28"/>
      <c r="O306" s="28"/>
      <c r="P306" s="28"/>
      <c r="Q306" s="28"/>
      <c r="R306" s="28"/>
      <c r="S306" s="28"/>
      <c r="T306" s="28"/>
      <c r="U306" s="28"/>
      <c r="V306" s="28"/>
      <c r="W306" s="28"/>
      <c r="X306" s="28"/>
      <c r="Y306" s="28"/>
      <c r="Z306" s="28"/>
      <c r="AA306" s="28"/>
      <c r="AB306" s="28"/>
    </row>
    <row r="307" spans="1:28" ht="13" x14ac:dyDescent="0.15">
      <c r="A307" s="34"/>
      <c r="B307" s="35"/>
      <c r="C307" s="30"/>
      <c r="D307" s="30"/>
      <c r="E307" s="30"/>
      <c r="F307" s="30"/>
      <c r="G307" s="30"/>
      <c r="H307" s="31"/>
      <c r="I307" s="30"/>
      <c r="J307" s="32"/>
      <c r="K307" s="32"/>
      <c r="L307" s="33"/>
      <c r="M307" s="28"/>
      <c r="N307" s="28"/>
      <c r="O307" s="28"/>
      <c r="P307" s="28"/>
      <c r="Q307" s="28"/>
      <c r="R307" s="28"/>
      <c r="S307" s="28"/>
      <c r="T307" s="28"/>
      <c r="U307" s="28"/>
      <c r="V307" s="28"/>
      <c r="W307" s="28"/>
      <c r="X307" s="28"/>
      <c r="Y307" s="28"/>
      <c r="Z307" s="28"/>
      <c r="AA307" s="28"/>
      <c r="AB307" s="28"/>
    </row>
    <row r="308" spans="1:28" ht="13" x14ac:dyDescent="0.15">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spans="1:28" ht="13" x14ac:dyDescent="0.15">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spans="1:28" ht="13" x14ac:dyDescent="0.15">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spans="1:28" ht="13" x14ac:dyDescent="0.15">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spans="1:28" ht="13" x14ac:dyDescent="0.15">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spans="1:28" ht="13" x14ac:dyDescent="0.15">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spans="1:28" ht="13" x14ac:dyDescent="0.15">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spans="1:28" ht="13" x14ac:dyDescent="0.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spans="1:28" ht="13" x14ac:dyDescent="0.15">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spans="1:28" ht="13" x14ac:dyDescent="0.15">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spans="1:28" ht="13" x14ac:dyDescent="0.15">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spans="1:28" ht="13" x14ac:dyDescent="0.15">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spans="1:28" ht="13" x14ac:dyDescent="0.15">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spans="1:28" ht="13" x14ac:dyDescent="0.15">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spans="1:28" ht="13" x14ac:dyDescent="0.15">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spans="1:28" ht="13" x14ac:dyDescent="0.15">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spans="1:28" ht="13" x14ac:dyDescent="0.15">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spans="1:28" ht="13" x14ac:dyDescent="0.1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spans="1:28" ht="13" x14ac:dyDescent="0.15">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spans="1:28" ht="13" x14ac:dyDescent="0.15">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spans="1:28" ht="13" x14ac:dyDescent="0.15">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spans="1:28" ht="13" x14ac:dyDescent="0.15">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spans="1:28" ht="13" x14ac:dyDescent="0.15">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spans="1:28" ht="13" x14ac:dyDescent="0.15">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spans="1:28" ht="13" x14ac:dyDescent="0.15">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spans="1:28" ht="13" x14ac:dyDescent="0.15">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spans="1:28" ht="13" x14ac:dyDescent="0.15">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spans="1:28" ht="13" x14ac:dyDescent="0.1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spans="1:28" ht="13" x14ac:dyDescent="0.15">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spans="1:28" ht="13" x14ac:dyDescent="0.15">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spans="1:28" ht="13" x14ac:dyDescent="0.15">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spans="1:28" ht="13" x14ac:dyDescent="0.15">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spans="1:28" ht="13" x14ac:dyDescent="0.15">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spans="1:28" ht="13" x14ac:dyDescent="0.15">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spans="1:28" ht="13" x14ac:dyDescent="0.15">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spans="1:28" ht="13" x14ac:dyDescent="0.15">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spans="1:28" ht="13" x14ac:dyDescent="0.15">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spans="1:28" ht="13" x14ac:dyDescent="0.1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spans="1:28" ht="13" x14ac:dyDescent="0.15">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spans="1:28" ht="13" x14ac:dyDescent="0.15">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spans="1:28" ht="13" x14ac:dyDescent="0.15">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spans="1:28" ht="13" x14ac:dyDescent="0.15">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spans="1:28" ht="13" x14ac:dyDescent="0.15">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spans="1:28" ht="13" x14ac:dyDescent="0.15">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spans="1:28" ht="13" x14ac:dyDescent="0.15">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spans="1:28" ht="13" x14ac:dyDescent="0.15">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spans="1:28" ht="13" x14ac:dyDescent="0.15">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spans="1:28" ht="13" x14ac:dyDescent="0.1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spans="1:28" ht="13" x14ac:dyDescent="0.15">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spans="1:28" ht="13" x14ac:dyDescent="0.15">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spans="1:28" ht="13" x14ac:dyDescent="0.15">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spans="1:28" ht="13" x14ac:dyDescent="0.15">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spans="1:28" ht="13" x14ac:dyDescent="0.15">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spans="1:28" ht="13" x14ac:dyDescent="0.15">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spans="1:28" ht="13" x14ac:dyDescent="0.15">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spans="1:28" ht="13" x14ac:dyDescent="0.15">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spans="1:28" ht="13" x14ac:dyDescent="0.15">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spans="1:28" ht="13" x14ac:dyDescent="0.1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spans="1:28" ht="13" x14ac:dyDescent="0.15">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spans="1:28" ht="13" x14ac:dyDescent="0.15">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spans="1:28" ht="13" x14ac:dyDescent="0.15">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spans="1:28" ht="13" x14ac:dyDescent="0.15">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spans="1:28" ht="13" x14ac:dyDescent="0.15">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spans="1:28" ht="13" x14ac:dyDescent="0.15">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spans="1:28" ht="13" x14ac:dyDescent="0.15">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spans="1:28" ht="13" x14ac:dyDescent="0.15">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spans="1:28" ht="13" x14ac:dyDescent="0.15">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spans="1:28" ht="13" x14ac:dyDescent="0.1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spans="1:28" ht="13" x14ac:dyDescent="0.15">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spans="1:28" ht="13" x14ac:dyDescent="0.15">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spans="1:28" ht="13" x14ac:dyDescent="0.15">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spans="1:28" ht="13" x14ac:dyDescent="0.15">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spans="1:28" ht="13" x14ac:dyDescent="0.15">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spans="1:28" ht="13" x14ac:dyDescent="0.15">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spans="1:28" ht="13" x14ac:dyDescent="0.15">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spans="1:28" ht="13" x14ac:dyDescent="0.15">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spans="1:28" ht="13" x14ac:dyDescent="0.15">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spans="1:28" ht="13" x14ac:dyDescent="0.1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spans="1:28" ht="13" x14ac:dyDescent="0.15">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spans="1:28" ht="13" x14ac:dyDescent="0.15">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spans="1:28" ht="13" x14ac:dyDescent="0.15">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spans="1:28" ht="13" x14ac:dyDescent="0.15">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spans="1:28" ht="13" x14ac:dyDescent="0.15">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spans="1:28" ht="13" x14ac:dyDescent="0.15">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spans="1:28" ht="13" x14ac:dyDescent="0.15">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spans="1:28" ht="13" x14ac:dyDescent="0.15">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spans="1:28" ht="13" x14ac:dyDescent="0.15">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spans="1:28" ht="13" x14ac:dyDescent="0.1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spans="1:28" ht="13" x14ac:dyDescent="0.15">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spans="1:28" ht="13" x14ac:dyDescent="0.15">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spans="1:28" ht="13" x14ac:dyDescent="0.15">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spans="1:28" ht="13" x14ac:dyDescent="0.15">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spans="1:28" ht="13" x14ac:dyDescent="0.15">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spans="1:28" ht="13" x14ac:dyDescent="0.15">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spans="1:28" ht="13" x14ac:dyDescent="0.15">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spans="1:28" ht="13" x14ac:dyDescent="0.15">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spans="1:28" ht="13" x14ac:dyDescent="0.15">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spans="1:28" ht="13" x14ac:dyDescent="0.1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spans="1:28" ht="13" x14ac:dyDescent="0.15">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spans="1:28" ht="13" x14ac:dyDescent="0.15">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spans="1:28" ht="13" x14ac:dyDescent="0.15">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spans="1:28" ht="13" x14ac:dyDescent="0.15">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spans="1:28" ht="13" x14ac:dyDescent="0.15">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spans="1:28" ht="13" x14ac:dyDescent="0.15">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spans="1:28" ht="13" x14ac:dyDescent="0.15">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spans="1:28" ht="13" x14ac:dyDescent="0.15">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spans="1:28" ht="13" x14ac:dyDescent="0.15">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spans="1:28" ht="13" x14ac:dyDescent="0.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spans="1:28" ht="13" x14ac:dyDescent="0.15">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spans="1:28" ht="13" x14ac:dyDescent="0.15">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spans="1:28" ht="13" x14ac:dyDescent="0.15">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spans="1:28" ht="13" x14ac:dyDescent="0.15">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spans="1:28" ht="13" x14ac:dyDescent="0.15">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spans="1:28" ht="13" x14ac:dyDescent="0.15">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spans="1:28" ht="13" x14ac:dyDescent="0.15">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spans="1:28" ht="13" x14ac:dyDescent="0.15">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spans="1:28" ht="13" x14ac:dyDescent="0.15">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spans="1:28" ht="13" x14ac:dyDescent="0.1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spans="1:28" ht="13" x14ac:dyDescent="0.15">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spans="1:28" ht="13" x14ac:dyDescent="0.15">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spans="1:28" ht="13" x14ac:dyDescent="0.15">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spans="1:28" ht="13" x14ac:dyDescent="0.15">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spans="1:28" ht="13" x14ac:dyDescent="0.15">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spans="1:28" ht="13" x14ac:dyDescent="0.15">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spans="1:28" ht="13" x14ac:dyDescent="0.15">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spans="1:28" ht="13" x14ac:dyDescent="0.15">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spans="1:28" ht="13" x14ac:dyDescent="0.15">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spans="1:28" ht="13" x14ac:dyDescent="0.1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spans="1:28" ht="13" x14ac:dyDescent="0.15">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spans="1:28" ht="13" x14ac:dyDescent="0.15">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spans="1:28" ht="13" x14ac:dyDescent="0.15">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spans="1:28" ht="13" x14ac:dyDescent="0.15">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spans="1:28" ht="13" x14ac:dyDescent="0.15">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spans="1:28" ht="13" x14ac:dyDescent="0.15">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spans="1:28" ht="13" x14ac:dyDescent="0.15">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spans="1:28" ht="13" x14ac:dyDescent="0.15">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spans="1:28" ht="13" x14ac:dyDescent="0.15">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spans="1:28" ht="13" x14ac:dyDescent="0.1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spans="1:28" ht="13" x14ac:dyDescent="0.15">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spans="1:28" ht="13" x14ac:dyDescent="0.15">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spans="1:28" ht="13" x14ac:dyDescent="0.15">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spans="1:28" ht="13" x14ac:dyDescent="0.15">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spans="1:28" ht="13" x14ac:dyDescent="0.15">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spans="1:28" ht="13" x14ac:dyDescent="0.15">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spans="1:28" ht="13" x14ac:dyDescent="0.15">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spans="1:28" ht="13" x14ac:dyDescent="0.15">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spans="1:28" ht="13" x14ac:dyDescent="0.15">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spans="1:28" ht="13" x14ac:dyDescent="0.1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spans="1:28" ht="13" x14ac:dyDescent="0.15">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spans="1:28" ht="13" x14ac:dyDescent="0.15">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spans="1:28" ht="13" x14ac:dyDescent="0.15">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spans="1:28" ht="13" x14ac:dyDescent="0.15">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spans="1:28" ht="13" x14ac:dyDescent="0.15">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spans="1:28" ht="13" x14ac:dyDescent="0.15">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spans="1:28" ht="13" x14ac:dyDescent="0.15">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spans="1:28" ht="13" x14ac:dyDescent="0.15">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spans="1:28" ht="13" x14ac:dyDescent="0.15">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spans="1:28" ht="13" x14ac:dyDescent="0.1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spans="1:28" ht="13" x14ac:dyDescent="0.15">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spans="1:28" ht="13" x14ac:dyDescent="0.15">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spans="1:28" ht="13" x14ac:dyDescent="0.15">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spans="1:28" ht="13" x14ac:dyDescent="0.15">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spans="1:28" ht="13" x14ac:dyDescent="0.15">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spans="1:28" ht="13" x14ac:dyDescent="0.15">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spans="1:28" ht="13" x14ac:dyDescent="0.15">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spans="1:28" ht="13" x14ac:dyDescent="0.15">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spans="1:28" ht="13" x14ac:dyDescent="0.15">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spans="1:28" ht="13" x14ac:dyDescent="0.1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spans="1:28" ht="13" x14ac:dyDescent="0.15">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spans="1:28" ht="13" x14ac:dyDescent="0.15">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spans="1:28" ht="13" x14ac:dyDescent="0.15">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spans="1:28" ht="13" x14ac:dyDescent="0.15">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spans="1:28" ht="13" x14ac:dyDescent="0.15">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spans="1:28" ht="13" x14ac:dyDescent="0.15">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spans="1:28" ht="13" x14ac:dyDescent="0.15">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spans="1:28" ht="13" x14ac:dyDescent="0.15">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spans="1:28" ht="13" x14ac:dyDescent="0.15">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spans="1:28" ht="13" x14ac:dyDescent="0.1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spans="1:28" ht="13" x14ac:dyDescent="0.15">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spans="1:28" ht="13" x14ac:dyDescent="0.15">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spans="1:28" ht="13" x14ac:dyDescent="0.15">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spans="1:28" ht="13" x14ac:dyDescent="0.15">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spans="1:28" ht="13" x14ac:dyDescent="0.15">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spans="1:28" ht="13" x14ac:dyDescent="0.15">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spans="1:28" ht="13" x14ac:dyDescent="0.15">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spans="1:28" ht="13" x14ac:dyDescent="0.15">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spans="1:28" ht="13" x14ac:dyDescent="0.15">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spans="1:28" ht="13" x14ac:dyDescent="0.1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spans="1:28" ht="13" x14ac:dyDescent="0.15">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spans="1:28" ht="13" x14ac:dyDescent="0.15">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spans="1:28" ht="13" x14ac:dyDescent="0.15">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spans="1:28" ht="13" x14ac:dyDescent="0.15">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spans="1:28" ht="13" x14ac:dyDescent="0.15">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spans="1:28" ht="13" x14ac:dyDescent="0.15">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spans="1:28" ht="13" x14ac:dyDescent="0.15">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spans="1:28" ht="13" x14ac:dyDescent="0.15">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spans="1:28" ht="13" x14ac:dyDescent="0.15">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spans="1:28" ht="13" x14ac:dyDescent="0.1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spans="1:28" ht="13" x14ac:dyDescent="0.15">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spans="1:28" ht="13" x14ac:dyDescent="0.15">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spans="1:28" ht="13" x14ac:dyDescent="0.15">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spans="1:28" ht="13" x14ac:dyDescent="0.15">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spans="1:28" ht="13" x14ac:dyDescent="0.15">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spans="1:28" ht="13" x14ac:dyDescent="0.15">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spans="1:28" ht="13" x14ac:dyDescent="0.15">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spans="1:28" ht="13" x14ac:dyDescent="0.15">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spans="1:28" ht="13" x14ac:dyDescent="0.15">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spans="1:28" ht="13" x14ac:dyDescent="0.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spans="1:28" ht="13" x14ac:dyDescent="0.15">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spans="1:28" ht="13" x14ac:dyDescent="0.15">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spans="1:28" ht="13" x14ac:dyDescent="0.15">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spans="1:28" ht="13" x14ac:dyDescent="0.15">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spans="1:28" ht="13" x14ac:dyDescent="0.15">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spans="1:28" ht="13" x14ac:dyDescent="0.15">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spans="1:28" ht="13" x14ac:dyDescent="0.15">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spans="1:28" ht="13" x14ac:dyDescent="0.15">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spans="1:28" ht="13" x14ac:dyDescent="0.15">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spans="1:28" ht="13" x14ac:dyDescent="0.1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spans="1:28" ht="13" x14ac:dyDescent="0.15">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spans="1:28" ht="13" x14ac:dyDescent="0.15">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spans="1:28" ht="13" x14ac:dyDescent="0.15">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spans="1:28" ht="13" x14ac:dyDescent="0.15">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spans="1:28" ht="13" x14ac:dyDescent="0.15">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spans="1:28" ht="13" x14ac:dyDescent="0.15">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spans="1:28" ht="13" x14ac:dyDescent="0.15">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spans="1:28" ht="13" x14ac:dyDescent="0.15">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spans="1:28" ht="13" x14ac:dyDescent="0.15">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spans="1:28" ht="13" x14ac:dyDescent="0.1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spans="1:28" ht="13" x14ac:dyDescent="0.15">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spans="1:28" ht="13" x14ac:dyDescent="0.15">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spans="1:28" ht="13" x14ac:dyDescent="0.15">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spans="1:28" ht="13" x14ac:dyDescent="0.15">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spans="1:28" ht="13" x14ac:dyDescent="0.15">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spans="1:28" ht="13" x14ac:dyDescent="0.15">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spans="1:28" ht="13" x14ac:dyDescent="0.15">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spans="1:28" ht="13" x14ac:dyDescent="0.15">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spans="1:28" ht="13" x14ac:dyDescent="0.15">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spans="1:28" ht="13" x14ac:dyDescent="0.1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spans="1:28" ht="13" x14ac:dyDescent="0.15">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spans="1:28" ht="13" x14ac:dyDescent="0.15">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spans="1:28" ht="13" x14ac:dyDescent="0.15">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spans="1:28" ht="13" x14ac:dyDescent="0.15">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spans="1:28" ht="13" x14ac:dyDescent="0.15">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spans="1:28" ht="13" x14ac:dyDescent="0.15">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spans="1:28" ht="13" x14ac:dyDescent="0.15">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spans="1:28" ht="13" x14ac:dyDescent="0.15">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spans="1:28" ht="13" x14ac:dyDescent="0.15">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spans="1:28" ht="13" x14ac:dyDescent="0.1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spans="1:28" ht="13" x14ac:dyDescent="0.15">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spans="1:28" ht="13" x14ac:dyDescent="0.15">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spans="1:28" ht="13" x14ac:dyDescent="0.15">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spans="1:28" ht="13" x14ac:dyDescent="0.15">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spans="1:28" ht="13" x14ac:dyDescent="0.15">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spans="1:28" ht="13" x14ac:dyDescent="0.15">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spans="1:28" ht="13" x14ac:dyDescent="0.15">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spans="1:28" ht="13" x14ac:dyDescent="0.15">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spans="1:28" ht="13" x14ac:dyDescent="0.15">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spans="1:28" ht="13" x14ac:dyDescent="0.1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spans="1:28" ht="13" x14ac:dyDescent="0.15">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spans="1:28" ht="13" x14ac:dyDescent="0.15">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spans="1:28" ht="13" x14ac:dyDescent="0.15">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spans="1:28" ht="13" x14ac:dyDescent="0.15">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spans="1:28" ht="13" x14ac:dyDescent="0.15">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spans="1:28" ht="13" x14ac:dyDescent="0.15">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spans="1:28" ht="13" x14ac:dyDescent="0.15">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spans="1:28" ht="13" x14ac:dyDescent="0.15">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spans="1:28" ht="13" x14ac:dyDescent="0.15">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spans="1:28" ht="13" x14ac:dyDescent="0.1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spans="1:28" ht="13" x14ac:dyDescent="0.15">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spans="1:28" ht="13" x14ac:dyDescent="0.15">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spans="1:28" ht="13" x14ac:dyDescent="0.15">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spans="1:28" ht="13" x14ac:dyDescent="0.15">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spans="1:28" ht="13" x14ac:dyDescent="0.15">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spans="1:28" ht="13" x14ac:dyDescent="0.15">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spans="1:28" ht="13" x14ac:dyDescent="0.15">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spans="1:28" ht="13" x14ac:dyDescent="0.15">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spans="1:28" ht="13" x14ac:dyDescent="0.15">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spans="1:28" ht="13" x14ac:dyDescent="0.1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spans="1:28" ht="13" x14ac:dyDescent="0.15">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spans="1:28" ht="13" x14ac:dyDescent="0.15">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spans="1:28" ht="13" x14ac:dyDescent="0.15">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spans="1:28" ht="13" x14ac:dyDescent="0.15">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spans="1:28" ht="13" x14ac:dyDescent="0.15">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spans="1:28" ht="13" x14ac:dyDescent="0.15">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spans="1:28" ht="13" x14ac:dyDescent="0.15">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spans="1:28" ht="13" x14ac:dyDescent="0.15">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spans="1:28" ht="13" x14ac:dyDescent="0.15">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spans="1:28" ht="13" x14ac:dyDescent="0.1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spans="1:28" ht="13" x14ac:dyDescent="0.15">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spans="1:28" ht="13" x14ac:dyDescent="0.15">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spans="1:28" ht="13" x14ac:dyDescent="0.15">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spans="1:28" ht="13" x14ac:dyDescent="0.15">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spans="1:28" ht="13" x14ac:dyDescent="0.15">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spans="1:28" ht="13" x14ac:dyDescent="0.15">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spans="1:28" ht="13" x14ac:dyDescent="0.15">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spans="1:28" ht="13" x14ac:dyDescent="0.15">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spans="1:28" ht="13" x14ac:dyDescent="0.15">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spans="1:28" ht="13" x14ac:dyDescent="0.1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spans="1:28" ht="13" x14ac:dyDescent="0.15">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spans="1:28" ht="13" x14ac:dyDescent="0.15">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spans="1:28" ht="13" x14ac:dyDescent="0.15">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spans="1:28" ht="13" x14ac:dyDescent="0.15">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spans="1:28" ht="13" x14ac:dyDescent="0.15">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spans="1:28" ht="13" x14ac:dyDescent="0.15">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spans="1:28" ht="13" x14ac:dyDescent="0.15">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spans="1:28" ht="13" x14ac:dyDescent="0.15">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spans="1:28" ht="13" x14ac:dyDescent="0.15">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spans="1:28" ht="13" x14ac:dyDescent="0.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spans="1:28" ht="13" x14ac:dyDescent="0.15">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spans="1:28" ht="13" x14ac:dyDescent="0.15">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spans="1:28" ht="13" x14ac:dyDescent="0.15">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spans="1:28" ht="13" x14ac:dyDescent="0.15">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spans="1:28" ht="13" x14ac:dyDescent="0.15">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spans="1:28" ht="13" x14ac:dyDescent="0.15">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spans="1:28" ht="13" x14ac:dyDescent="0.15">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spans="1:28" ht="13" x14ac:dyDescent="0.15">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spans="1:28" ht="13" x14ac:dyDescent="0.15">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spans="1:28" ht="13" x14ac:dyDescent="0.1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spans="1:28" ht="13" x14ac:dyDescent="0.15">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spans="1:28" ht="13" x14ac:dyDescent="0.15">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spans="1:28" ht="13" x14ac:dyDescent="0.15">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spans="1:28" ht="13" x14ac:dyDescent="0.15">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spans="1:28" ht="13" x14ac:dyDescent="0.15">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spans="1:28" ht="13" x14ac:dyDescent="0.15">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spans="1:28" ht="13" x14ac:dyDescent="0.15">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spans="1:28" ht="13" x14ac:dyDescent="0.15">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spans="1:28" ht="13" x14ac:dyDescent="0.15">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spans="1:28" ht="13" x14ac:dyDescent="0.1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spans="1:28" ht="13" x14ac:dyDescent="0.15">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spans="1:28" ht="13" x14ac:dyDescent="0.15">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spans="1:28" ht="13" x14ac:dyDescent="0.15">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spans="1:28" ht="13" x14ac:dyDescent="0.15">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spans="1:28" ht="13" x14ac:dyDescent="0.15">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spans="1:28" ht="13" x14ac:dyDescent="0.15">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spans="1:28" ht="13" x14ac:dyDescent="0.15">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spans="1:28" ht="13" x14ac:dyDescent="0.15">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spans="1:28" ht="13" x14ac:dyDescent="0.15">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spans="1:28" ht="13" x14ac:dyDescent="0.1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spans="1:28" ht="13" x14ac:dyDescent="0.15">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spans="1:28" ht="13" x14ac:dyDescent="0.15">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spans="1:28" ht="13" x14ac:dyDescent="0.15">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spans="1:28" ht="13" x14ac:dyDescent="0.15">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spans="1:28" ht="13" x14ac:dyDescent="0.15">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spans="1:28" ht="13" x14ac:dyDescent="0.15">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spans="1:28" ht="13" x14ac:dyDescent="0.15">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spans="1:28" ht="13" x14ac:dyDescent="0.15">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spans="1:28" ht="13" x14ac:dyDescent="0.15">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spans="1:28" ht="13" x14ac:dyDescent="0.1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spans="1:28" ht="13" x14ac:dyDescent="0.15">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spans="1:28" ht="13" x14ac:dyDescent="0.15">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spans="1:28" ht="13" x14ac:dyDescent="0.15">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spans="1:28" ht="13" x14ac:dyDescent="0.15">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spans="1:28" ht="13" x14ac:dyDescent="0.15">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spans="1:28" ht="13" x14ac:dyDescent="0.15">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spans="1:28" ht="13" x14ac:dyDescent="0.15">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spans="1:28" ht="13" x14ac:dyDescent="0.15">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spans="1:28" ht="13" x14ac:dyDescent="0.15">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spans="1:28" ht="13" x14ac:dyDescent="0.1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spans="1:28" ht="13" x14ac:dyDescent="0.15">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spans="1:28" ht="13" x14ac:dyDescent="0.15">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spans="1:28" ht="13" x14ac:dyDescent="0.15">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spans="1:28" ht="13" x14ac:dyDescent="0.15">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spans="1:28" ht="13" x14ac:dyDescent="0.15">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spans="1:28" ht="13" x14ac:dyDescent="0.15">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spans="1:28" ht="13" x14ac:dyDescent="0.15">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spans="1:28" ht="13" x14ac:dyDescent="0.15">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spans="1:28" ht="13" x14ac:dyDescent="0.15">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spans="1:28" ht="13" x14ac:dyDescent="0.1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spans="1:28" ht="13" x14ac:dyDescent="0.15">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spans="1:28" ht="13" x14ac:dyDescent="0.15">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spans="1:28" ht="13" x14ac:dyDescent="0.15">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spans="1:28" ht="13" x14ac:dyDescent="0.15">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spans="1:28" ht="13" x14ac:dyDescent="0.15">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spans="1:28" ht="13" x14ac:dyDescent="0.15">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spans="1:28" ht="13" x14ac:dyDescent="0.15">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spans="1:28" ht="13" x14ac:dyDescent="0.15">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spans="1:28" ht="13" x14ac:dyDescent="0.15">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spans="1:28" ht="13" x14ac:dyDescent="0.1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spans="1:28" ht="13" x14ac:dyDescent="0.15">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spans="1:28" ht="13" x14ac:dyDescent="0.15">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spans="1:28" ht="13" x14ac:dyDescent="0.15">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spans="1:28" ht="13" x14ac:dyDescent="0.15">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spans="1:28" ht="13" x14ac:dyDescent="0.15">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spans="1:28" ht="13" x14ac:dyDescent="0.15">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spans="1:28" ht="13" x14ac:dyDescent="0.15">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spans="1:28" ht="13" x14ac:dyDescent="0.15">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spans="1:28" ht="13" x14ac:dyDescent="0.15">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spans="1:28" ht="13" x14ac:dyDescent="0.1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spans="1:28" ht="13" x14ac:dyDescent="0.15">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spans="1:28" ht="13" x14ac:dyDescent="0.15">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spans="1:28" ht="13" x14ac:dyDescent="0.15">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spans="1:28" ht="13" x14ac:dyDescent="0.15">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spans="1:28" ht="13" x14ac:dyDescent="0.15">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spans="1:28" ht="13" x14ac:dyDescent="0.15">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spans="1:28" ht="13" x14ac:dyDescent="0.15">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spans="1:28" ht="13" x14ac:dyDescent="0.15">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spans="1:28" ht="13" x14ac:dyDescent="0.15">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spans="1:28" ht="13" x14ac:dyDescent="0.1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spans="1:28" ht="13" x14ac:dyDescent="0.15">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spans="1:28" ht="13" x14ac:dyDescent="0.15">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spans="1:28" ht="13" x14ac:dyDescent="0.15">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spans="1:28" ht="13" x14ac:dyDescent="0.15">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spans="1:28" ht="13" x14ac:dyDescent="0.15">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spans="1:28" ht="13" x14ac:dyDescent="0.15">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spans="1:28" ht="13" x14ac:dyDescent="0.15">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spans="1:28" ht="13" x14ac:dyDescent="0.15">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spans="1:28" ht="13" x14ac:dyDescent="0.15">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spans="1:28" ht="13" x14ac:dyDescent="0.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spans="1:28" ht="13" x14ac:dyDescent="0.15">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spans="1:28" ht="13" x14ac:dyDescent="0.15">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spans="1:28" ht="13" x14ac:dyDescent="0.15">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spans="1:28" ht="13" x14ac:dyDescent="0.15">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spans="1:28" ht="13" x14ac:dyDescent="0.15">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spans="1:28" ht="13" x14ac:dyDescent="0.15">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spans="1:28" ht="13" x14ac:dyDescent="0.15">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spans="1:28" ht="13" x14ac:dyDescent="0.15">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spans="1:28" ht="13" x14ac:dyDescent="0.15">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spans="1:28" ht="13" x14ac:dyDescent="0.1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spans="1:28" ht="13" x14ac:dyDescent="0.15">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spans="1:28" ht="13" x14ac:dyDescent="0.15">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spans="1:28" ht="13" x14ac:dyDescent="0.15">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spans="1:28" ht="13" x14ac:dyDescent="0.15">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spans="1:28" ht="13" x14ac:dyDescent="0.15">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spans="1:28" ht="13" x14ac:dyDescent="0.15">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spans="1:28" ht="13" x14ac:dyDescent="0.15">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spans="1:28" ht="13" x14ac:dyDescent="0.15">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spans="1:28" ht="13" x14ac:dyDescent="0.15">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spans="1:28" ht="13" x14ac:dyDescent="0.1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spans="1:28" ht="13" x14ac:dyDescent="0.15">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spans="1:28" ht="13" x14ac:dyDescent="0.15">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spans="1:28" ht="13" x14ac:dyDescent="0.15">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spans="1:28" ht="13" x14ac:dyDescent="0.15">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spans="1:28" ht="13" x14ac:dyDescent="0.15">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spans="1:28" ht="13" x14ac:dyDescent="0.15">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spans="1:28" ht="13" x14ac:dyDescent="0.15">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spans="1:28" ht="13" x14ac:dyDescent="0.15">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spans="1:28" ht="13" x14ac:dyDescent="0.15">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spans="1:28" ht="13" x14ac:dyDescent="0.1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spans="1:28" ht="13" x14ac:dyDescent="0.15">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spans="1:28" ht="13" x14ac:dyDescent="0.15">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spans="1:28" ht="13" x14ac:dyDescent="0.15">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spans="1:28" ht="13" x14ac:dyDescent="0.15">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spans="1:28" ht="13" x14ac:dyDescent="0.15">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spans="1:28" ht="13" x14ac:dyDescent="0.15">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spans="1:28" ht="13" x14ac:dyDescent="0.15">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spans="1:28" ht="13" x14ac:dyDescent="0.15">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spans="1:28" ht="13" x14ac:dyDescent="0.15">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spans="1:28" ht="13" x14ac:dyDescent="0.1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spans="1:28" ht="13" x14ac:dyDescent="0.15">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spans="1:28" ht="13" x14ac:dyDescent="0.15">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spans="1:28" ht="13" x14ac:dyDescent="0.15">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spans="1:28" ht="13" x14ac:dyDescent="0.15">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spans="1:28" ht="13" x14ac:dyDescent="0.15">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spans="1:28" ht="13" x14ac:dyDescent="0.15">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spans="1:28" ht="13" x14ac:dyDescent="0.15">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spans="1:28" ht="13" x14ac:dyDescent="0.15">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spans="1:28" ht="13" x14ac:dyDescent="0.15">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spans="1:28" ht="13" x14ac:dyDescent="0.1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spans="1:28" ht="13" x14ac:dyDescent="0.15">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spans="1:28" ht="13" x14ac:dyDescent="0.15">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spans="1:28" ht="13" x14ac:dyDescent="0.15">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spans="1:28" ht="13" x14ac:dyDescent="0.15">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spans="1:28" ht="13" x14ac:dyDescent="0.15">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spans="1:28" ht="13" x14ac:dyDescent="0.15">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spans="1:28" ht="13" x14ac:dyDescent="0.15">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spans="1:28" ht="13" x14ac:dyDescent="0.15">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spans="1:28" ht="13" x14ac:dyDescent="0.15">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spans="1:28" ht="13" x14ac:dyDescent="0.1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spans="1:28" ht="13" x14ac:dyDescent="0.15">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spans="1:28" ht="13" x14ac:dyDescent="0.15">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spans="1:28" ht="13" x14ac:dyDescent="0.15">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spans="1:28" ht="13" x14ac:dyDescent="0.15">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spans="1:28" ht="13" x14ac:dyDescent="0.15">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spans="1:28" ht="13" x14ac:dyDescent="0.15">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spans="1:28" ht="13" x14ac:dyDescent="0.15">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spans="1:28" ht="13" x14ac:dyDescent="0.15">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spans="1:28" ht="13" x14ac:dyDescent="0.15">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spans="1:28" ht="13" x14ac:dyDescent="0.1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spans="1:28" ht="13" x14ac:dyDescent="0.15">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spans="1:28" ht="13" x14ac:dyDescent="0.15">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spans="1:28" ht="13" x14ac:dyDescent="0.15">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spans="1:28" ht="13" x14ac:dyDescent="0.15">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spans="1:28" ht="13" x14ac:dyDescent="0.15">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spans="1:28" ht="13" x14ac:dyDescent="0.15">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spans="1:28" ht="13" x14ac:dyDescent="0.15">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spans="1:28" ht="13" x14ac:dyDescent="0.15">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spans="1:28" ht="13" x14ac:dyDescent="0.15">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spans="1:28" ht="13" x14ac:dyDescent="0.1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spans="1:28" ht="13" x14ac:dyDescent="0.15">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spans="1:28" ht="13" x14ac:dyDescent="0.15">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spans="1:28" ht="13" x14ac:dyDescent="0.15">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spans="1:28" ht="13" x14ac:dyDescent="0.15">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spans="1:28" ht="13" x14ac:dyDescent="0.15">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spans="1:28" ht="13" x14ac:dyDescent="0.15">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spans="1:28" ht="13" x14ac:dyDescent="0.15">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spans="1:28" ht="13" x14ac:dyDescent="0.15">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spans="1:28" ht="13" x14ac:dyDescent="0.15">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spans="1:28" ht="13" x14ac:dyDescent="0.1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spans="1:28" ht="13" x14ac:dyDescent="0.15">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spans="1:28" ht="13" x14ac:dyDescent="0.15">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spans="1:28" ht="13" x14ac:dyDescent="0.15">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spans="1:28" ht="13" x14ac:dyDescent="0.15">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spans="1:28" ht="13" x14ac:dyDescent="0.15">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spans="1:28" ht="13" x14ac:dyDescent="0.15">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spans="1:28" ht="13" x14ac:dyDescent="0.15">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spans="1:28" ht="13" x14ac:dyDescent="0.15">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spans="1:28" ht="13" x14ac:dyDescent="0.15">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spans="1:28" ht="13" x14ac:dyDescent="0.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spans="1:28" ht="13" x14ac:dyDescent="0.15">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spans="1:28" ht="13" x14ac:dyDescent="0.15">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spans="1:28" ht="13" x14ac:dyDescent="0.15">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spans="1:28" ht="13" x14ac:dyDescent="0.15">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spans="1:28" ht="13" x14ac:dyDescent="0.15">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spans="1:28" ht="13" x14ac:dyDescent="0.15">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spans="1:28" ht="13" x14ac:dyDescent="0.15">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spans="1:28" ht="13" x14ac:dyDescent="0.15">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spans="1:28" ht="13" x14ac:dyDescent="0.15">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spans="1:28" ht="13" x14ac:dyDescent="0.1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spans="1:28" ht="13" x14ac:dyDescent="0.15">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spans="1:28" ht="13" x14ac:dyDescent="0.15">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spans="1:28" ht="13" x14ac:dyDescent="0.15">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spans="1:28" ht="13" x14ac:dyDescent="0.15">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spans="1:28" ht="13" x14ac:dyDescent="0.15">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spans="1:28" ht="13" x14ac:dyDescent="0.15">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spans="1:28" ht="13" x14ac:dyDescent="0.15">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spans="1:28" ht="13" x14ac:dyDescent="0.15">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spans="1:28" ht="13" x14ac:dyDescent="0.15">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spans="1:28" ht="13" x14ac:dyDescent="0.1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spans="1:28" ht="13" x14ac:dyDescent="0.15">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spans="1:28" ht="13" x14ac:dyDescent="0.15">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spans="1:28" ht="13" x14ac:dyDescent="0.15">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spans="1:28" ht="13" x14ac:dyDescent="0.15">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spans="1:28" ht="13" x14ac:dyDescent="0.15">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spans="1:28" ht="13" x14ac:dyDescent="0.15">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spans="1:28" ht="13" x14ac:dyDescent="0.15">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spans="1:28" ht="13" x14ac:dyDescent="0.15">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spans="1:28" ht="13" x14ac:dyDescent="0.15">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spans="1:28" ht="13" x14ac:dyDescent="0.1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spans="1:28" ht="13" x14ac:dyDescent="0.15">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spans="1:28" ht="13" x14ac:dyDescent="0.15">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spans="1:28" ht="13" x14ac:dyDescent="0.15">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spans="1:28" ht="13" x14ac:dyDescent="0.15">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spans="1:28" ht="13" x14ac:dyDescent="0.15">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spans="1:28" ht="13" x14ac:dyDescent="0.15">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spans="1:28" ht="13" x14ac:dyDescent="0.15">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spans="1:28" ht="13" x14ac:dyDescent="0.15">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spans="1:28" ht="13" x14ac:dyDescent="0.15">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spans="1:28" ht="13" x14ac:dyDescent="0.1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spans="1:28" ht="13" x14ac:dyDescent="0.15">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spans="1:28" ht="13" x14ac:dyDescent="0.15">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spans="1:28" ht="13" x14ac:dyDescent="0.15">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spans="1:28" ht="13" x14ac:dyDescent="0.15">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spans="1:28" ht="13" x14ac:dyDescent="0.15">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spans="1:28" ht="13" x14ac:dyDescent="0.15">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spans="1:28" ht="13" x14ac:dyDescent="0.15">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spans="1:28" ht="13" x14ac:dyDescent="0.15">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spans="1:28" ht="13" x14ac:dyDescent="0.15">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spans="1:28" ht="13" x14ac:dyDescent="0.1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spans="1:28" ht="13" x14ac:dyDescent="0.15">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spans="1:28" ht="13" x14ac:dyDescent="0.15">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spans="1:28" ht="13" x14ac:dyDescent="0.15">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spans="1:28" ht="13" x14ac:dyDescent="0.15">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spans="1:28" ht="13" x14ac:dyDescent="0.15">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spans="1:28" ht="13" x14ac:dyDescent="0.15">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spans="1:28" ht="13" x14ac:dyDescent="0.15">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spans="1:28" ht="13" x14ac:dyDescent="0.15">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spans="1:28" ht="13" x14ac:dyDescent="0.15">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spans="1:28" ht="13" x14ac:dyDescent="0.1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spans="1:28" ht="13" x14ac:dyDescent="0.15">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spans="1:28" ht="13" x14ac:dyDescent="0.15">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spans="1:28" ht="13" x14ac:dyDescent="0.15">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spans="1:28" ht="13" x14ac:dyDescent="0.15">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spans="1:28" ht="13" x14ac:dyDescent="0.15">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spans="1:28" ht="13" x14ac:dyDescent="0.15">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spans="1:28" ht="13" x14ac:dyDescent="0.15">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spans="1:28" ht="13" x14ac:dyDescent="0.15">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spans="1:28" ht="13" x14ac:dyDescent="0.15">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spans="1:28" ht="13" x14ac:dyDescent="0.1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spans="1:28" ht="13" x14ac:dyDescent="0.15">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spans="1:28" ht="13" x14ac:dyDescent="0.15">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spans="1:28" ht="13" x14ac:dyDescent="0.15">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spans="1:28" ht="13" x14ac:dyDescent="0.15">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spans="1:28" ht="13" x14ac:dyDescent="0.15">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spans="1:28" ht="13" x14ac:dyDescent="0.15">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spans="1:28" ht="13" x14ac:dyDescent="0.15">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spans="1:28" ht="13" x14ac:dyDescent="0.15">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spans="1:28" ht="13" x14ac:dyDescent="0.15">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spans="1:28" ht="13" x14ac:dyDescent="0.1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spans="1:28" ht="13" x14ac:dyDescent="0.15">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spans="1:28" ht="13" x14ac:dyDescent="0.15">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spans="1:28" ht="13" x14ac:dyDescent="0.15">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spans="1:28" ht="13" x14ac:dyDescent="0.15">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spans="1:28" ht="13" x14ac:dyDescent="0.15">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spans="1:28" ht="13" x14ac:dyDescent="0.15">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spans="1:28" ht="13" x14ac:dyDescent="0.15">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spans="1:28" ht="13" x14ac:dyDescent="0.15">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spans="1:28" ht="13" x14ac:dyDescent="0.15">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spans="1:28" ht="13" x14ac:dyDescent="0.1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spans="1:28" ht="13" x14ac:dyDescent="0.15">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spans="1:28" ht="13" x14ac:dyDescent="0.15">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spans="1:28" ht="13" x14ac:dyDescent="0.15">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spans="1:28" ht="13" x14ac:dyDescent="0.15">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spans="1:28" ht="13" x14ac:dyDescent="0.15">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spans="1:28" ht="13" x14ac:dyDescent="0.15">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spans="1:28" ht="13" x14ac:dyDescent="0.15">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spans="1:28" ht="13" x14ac:dyDescent="0.15">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spans="1:28" ht="13" x14ac:dyDescent="0.15">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spans="1:28" ht="13" x14ac:dyDescent="0.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spans="1:28" ht="13" x14ac:dyDescent="0.15">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spans="1:28" ht="13" x14ac:dyDescent="0.15">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spans="1:28" ht="13" x14ac:dyDescent="0.15">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spans="1:28" ht="13" x14ac:dyDescent="0.15">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spans="1:28" ht="13" x14ac:dyDescent="0.15">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spans="1:28" ht="13" x14ac:dyDescent="0.15">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spans="1:28" ht="13" x14ac:dyDescent="0.15">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spans="1:28" ht="13" x14ac:dyDescent="0.15">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spans="1:28" ht="13" x14ac:dyDescent="0.15">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spans="1:28" ht="13" x14ac:dyDescent="0.1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spans="1:28" ht="13" x14ac:dyDescent="0.15">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spans="1:28" ht="13" x14ac:dyDescent="0.15">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spans="1:28" ht="13" x14ac:dyDescent="0.15">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spans="1:28" ht="13" x14ac:dyDescent="0.15">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spans="1:28" ht="13" x14ac:dyDescent="0.15">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spans="1:28" ht="13" x14ac:dyDescent="0.15">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spans="1:28" ht="13" x14ac:dyDescent="0.15">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spans="1:28" ht="13" x14ac:dyDescent="0.15">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spans="1:28" ht="13" x14ac:dyDescent="0.15">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spans="1:28" ht="13" x14ac:dyDescent="0.1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spans="1:28" ht="13" x14ac:dyDescent="0.15">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spans="1:28" ht="13" x14ac:dyDescent="0.15">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spans="1:28" ht="13" x14ac:dyDescent="0.15">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spans="1:28" ht="13" x14ac:dyDescent="0.15">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spans="1:28" ht="13" x14ac:dyDescent="0.15">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spans="1:28" ht="13" x14ac:dyDescent="0.15">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spans="1:28" ht="13" x14ac:dyDescent="0.15">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spans="1:28" ht="13" x14ac:dyDescent="0.15">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spans="1:28" ht="13" x14ac:dyDescent="0.15">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spans="1:28" ht="13" x14ac:dyDescent="0.1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spans="1:28" ht="13" x14ac:dyDescent="0.15">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spans="1:28" ht="13" x14ac:dyDescent="0.15">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spans="1:28" ht="13" x14ac:dyDescent="0.15">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spans="1:28" ht="13" x14ac:dyDescent="0.15">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spans="1:28" ht="13" x14ac:dyDescent="0.15">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spans="1:28" ht="13" x14ac:dyDescent="0.15">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spans="1:28" ht="13" x14ac:dyDescent="0.15">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spans="1:28" ht="13" x14ac:dyDescent="0.15">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spans="1:28" ht="13" x14ac:dyDescent="0.15">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spans="1:28" ht="13" x14ac:dyDescent="0.1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spans="1:28" ht="13" x14ac:dyDescent="0.15">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spans="1:28" ht="13" x14ac:dyDescent="0.15">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spans="1:28" ht="13" x14ac:dyDescent="0.15">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spans="1:28" ht="13" x14ac:dyDescent="0.15">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spans="1:28" ht="13" x14ac:dyDescent="0.15">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spans="1:28" ht="13" x14ac:dyDescent="0.15">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spans="1:28" ht="13" x14ac:dyDescent="0.15">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spans="1:28" ht="13" x14ac:dyDescent="0.15">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spans="1:28" ht="13" x14ac:dyDescent="0.15">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spans="1:28" ht="13" x14ac:dyDescent="0.1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spans="1:28" ht="13" x14ac:dyDescent="0.15">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spans="1:28" ht="13" x14ac:dyDescent="0.15">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spans="1:28" ht="13" x14ac:dyDescent="0.15">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spans="1:28" ht="13" x14ac:dyDescent="0.15">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spans="1:28" ht="13" x14ac:dyDescent="0.15">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spans="1:28" ht="13" x14ac:dyDescent="0.15">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spans="1:28" ht="13" x14ac:dyDescent="0.15">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spans="1:28" ht="13" x14ac:dyDescent="0.15">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spans="1:28" ht="13" x14ac:dyDescent="0.15">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spans="1:28" ht="13" x14ac:dyDescent="0.1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spans="1:28" ht="13" x14ac:dyDescent="0.15">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spans="1:28" ht="13" x14ac:dyDescent="0.15">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spans="1:28" ht="13" x14ac:dyDescent="0.15">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spans="1:28" ht="13" x14ac:dyDescent="0.15">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spans="1:28" ht="13" x14ac:dyDescent="0.15">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spans="1:28" ht="13" x14ac:dyDescent="0.15">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spans="1:28" ht="13" x14ac:dyDescent="0.15">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spans="1:28" ht="13" x14ac:dyDescent="0.15">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spans="1:28" ht="13" x14ac:dyDescent="0.15">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spans="1:28" ht="13" x14ac:dyDescent="0.1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spans="1:28" ht="13" x14ac:dyDescent="0.15">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spans="1:28" ht="13" x14ac:dyDescent="0.15">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spans="1:28" ht="13" x14ac:dyDescent="0.15">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spans="1:28" ht="13" x14ac:dyDescent="0.15">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spans="1:28" ht="13" x14ac:dyDescent="0.15">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spans="1:28" ht="13" x14ac:dyDescent="0.15">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spans="1:28" ht="13" x14ac:dyDescent="0.15">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spans="1:28" ht="13" x14ac:dyDescent="0.15">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spans="1:28" ht="13" x14ac:dyDescent="0.15">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spans="1:28" ht="13" x14ac:dyDescent="0.1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spans="1:28" ht="13" x14ac:dyDescent="0.15">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spans="1:28" ht="13" x14ac:dyDescent="0.15">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spans="1:28" ht="13" x14ac:dyDescent="0.15">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spans="1:28" ht="13" x14ac:dyDescent="0.15">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spans="1:28" ht="13" x14ac:dyDescent="0.15">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spans="1:28" ht="13" x14ac:dyDescent="0.15">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spans="1:28" ht="13" x14ac:dyDescent="0.15">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spans="1:28" ht="13" x14ac:dyDescent="0.15">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spans="1:28" ht="13" x14ac:dyDescent="0.15">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spans="1:28" ht="13" x14ac:dyDescent="0.1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spans="1:28" ht="13" x14ac:dyDescent="0.15">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spans="1:28" ht="13" x14ac:dyDescent="0.15">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spans="1:28" ht="13" x14ac:dyDescent="0.15">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spans="1:28" ht="13" x14ac:dyDescent="0.15">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spans="1:28" ht="13" x14ac:dyDescent="0.15">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spans="1:28" ht="13" x14ac:dyDescent="0.15">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spans="1:28" ht="13" x14ac:dyDescent="0.15">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spans="1:28" ht="13" x14ac:dyDescent="0.15">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spans="1:28" ht="13" x14ac:dyDescent="0.15">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spans="1:28" ht="13" x14ac:dyDescent="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spans="1:28" ht="13" x14ac:dyDescent="0.15">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spans="1:28" ht="13" x14ac:dyDescent="0.15">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spans="1:28" ht="13" x14ac:dyDescent="0.15">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spans="1:28" ht="13" x14ac:dyDescent="0.15">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spans="1:28" ht="13" x14ac:dyDescent="0.15">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spans="1:28" ht="13" x14ac:dyDescent="0.15">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spans="1:28" ht="13" x14ac:dyDescent="0.15">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spans="1:28" ht="13" x14ac:dyDescent="0.15">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spans="1:28" ht="13" x14ac:dyDescent="0.15">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spans="1:28" ht="13" x14ac:dyDescent="0.1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spans="1:28" ht="13" x14ac:dyDescent="0.15">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spans="1:28" ht="13" x14ac:dyDescent="0.15">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spans="1:28" ht="13" x14ac:dyDescent="0.15">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spans="1:28" ht="13" x14ac:dyDescent="0.15">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spans="1:28" ht="13" x14ac:dyDescent="0.15">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spans="1:28" ht="13" x14ac:dyDescent="0.15">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spans="1:28" ht="13" x14ac:dyDescent="0.15">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spans="1:28" ht="13" x14ac:dyDescent="0.15">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spans="1:28" ht="13" x14ac:dyDescent="0.15">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spans="1:28" ht="13" x14ac:dyDescent="0.1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spans="1:28" ht="13" x14ac:dyDescent="0.15">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spans="1:28" ht="13" x14ac:dyDescent="0.15">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spans="1:28" ht="13" x14ac:dyDescent="0.15">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spans="1:28" ht="13" x14ac:dyDescent="0.15">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spans="1:28" ht="13" x14ac:dyDescent="0.15">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spans="1:28" ht="13" x14ac:dyDescent="0.15">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spans="1:28" ht="13" x14ac:dyDescent="0.15">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spans="1:28" ht="13" x14ac:dyDescent="0.15">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spans="1:28" ht="13" x14ac:dyDescent="0.15">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spans="1:28" ht="13" x14ac:dyDescent="0.1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spans="1:28" ht="13" x14ac:dyDescent="0.15">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spans="1:28" ht="13" x14ac:dyDescent="0.15">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spans="1:28" ht="13" x14ac:dyDescent="0.15">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spans="1:28" ht="13" x14ac:dyDescent="0.15">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spans="1:28" ht="13" x14ac:dyDescent="0.15">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spans="1:28" ht="13" x14ac:dyDescent="0.15">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spans="1:28" ht="13" x14ac:dyDescent="0.15">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spans="1:28" ht="13" x14ac:dyDescent="0.15">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spans="1:28" ht="13" x14ac:dyDescent="0.15">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spans="1:28" ht="13" x14ac:dyDescent="0.1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spans="1:28" ht="13" x14ac:dyDescent="0.15">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spans="1:28" ht="13" x14ac:dyDescent="0.15">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spans="1:28" ht="13" x14ac:dyDescent="0.15">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spans="1:28" ht="13" x14ac:dyDescent="0.15">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spans="1:28" ht="13" x14ac:dyDescent="0.15">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spans="1:28" ht="13" x14ac:dyDescent="0.15">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spans="1:28" ht="13" x14ac:dyDescent="0.15">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spans="1:28" ht="13" x14ac:dyDescent="0.15">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spans="1:28" ht="13" x14ac:dyDescent="0.15">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spans="1:28" ht="13" x14ac:dyDescent="0.1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spans="1:28" ht="13" x14ac:dyDescent="0.15">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spans="1:28" ht="13" x14ac:dyDescent="0.15">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spans="1:28" ht="13" x14ac:dyDescent="0.15">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spans="1:28" ht="13" x14ac:dyDescent="0.15">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spans="1:28" ht="13" x14ac:dyDescent="0.15">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spans="1:28" ht="13" x14ac:dyDescent="0.15">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spans="1:28" ht="13" x14ac:dyDescent="0.15">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spans="1:28" ht="13" x14ac:dyDescent="0.15">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spans="1:28" ht="13" x14ac:dyDescent="0.15">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spans="1:28" ht="13" x14ac:dyDescent="0.1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spans="1:28" ht="13" x14ac:dyDescent="0.15">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spans="1:28" ht="13" x14ac:dyDescent="0.15">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spans="1:28" ht="13" x14ac:dyDescent="0.15">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spans="1:28" ht="13" x14ac:dyDescent="0.15">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spans="1:28" ht="13" x14ac:dyDescent="0.15">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spans="1:28" ht="13" x14ac:dyDescent="0.15">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spans="1:28" ht="13" x14ac:dyDescent="0.15">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spans="1:28" ht="13" x14ac:dyDescent="0.15">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spans="1:28" ht="13" x14ac:dyDescent="0.15">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spans="1:28" ht="13" x14ac:dyDescent="0.1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spans="1:28" ht="13" x14ac:dyDescent="0.15">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spans="1:28" ht="13" x14ac:dyDescent="0.15">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spans="1:28" ht="13" x14ac:dyDescent="0.15">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spans="1:28" ht="13" x14ac:dyDescent="0.15">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spans="1:28" ht="13" x14ac:dyDescent="0.15">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spans="1:28" ht="13" x14ac:dyDescent="0.15">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spans="1:28" ht="13" x14ac:dyDescent="0.15">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spans="1:28" ht="13" x14ac:dyDescent="0.15">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spans="1:28" ht="13" x14ac:dyDescent="0.15">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spans="1:28" ht="13" x14ac:dyDescent="0.1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spans="1:28" ht="13" x14ac:dyDescent="0.15">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spans="1:28" ht="13" x14ac:dyDescent="0.15">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spans="1:28" ht="13" x14ac:dyDescent="0.15">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spans="1:28" ht="13" x14ac:dyDescent="0.15">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spans="1:28" ht="13" x14ac:dyDescent="0.15">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spans="1:28" ht="13" x14ac:dyDescent="0.15">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spans="1:28" ht="13" x14ac:dyDescent="0.15">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spans="1:28" ht="13" x14ac:dyDescent="0.15">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spans="1:28" ht="13" x14ac:dyDescent="0.15">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spans="1:28" ht="13" x14ac:dyDescent="0.1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spans="1:28" ht="13" x14ac:dyDescent="0.15">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spans="1:28" ht="13" x14ac:dyDescent="0.15">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spans="1:28" ht="13" x14ac:dyDescent="0.15">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spans="1:28" ht="13" x14ac:dyDescent="0.15">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spans="1:28" ht="13" x14ac:dyDescent="0.15">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spans="1:28" ht="13" x14ac:dyDescent="0.15">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spans="1:28" ht="13" x14ac:dyDescent="0.15">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spans="1:28" ht="13" x14ac:dyDescent="0.15">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spans="1:28" ht="13" x14ac:dyDescent="0.15">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spans="1:28" ht="13" x14ac:dyDescent="0.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spans="1:28" ht="13" x14ac:dyDescent="0.15">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spans="1:28" ht="13" x14ac:dyDescent="0.15">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spans="1:28" ht="13" x14ac:dyDescent="0.15">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spans="1:28" ht="13" x14ac:dyDescent="0.15">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spans="1:28" ht="13" x14ac:dyDescent="0.15">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spans="1:28" ht="13" x14ac:dyDescent="0.15">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spans="1:28" ht="13" x14ac:dyDescent="0.15">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spans="1:28" ht="13" x14ac:dyDescent="0.15">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spans="1:28" ht="13" x14ac:dyDescent="0.15">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spans="1:28" ht="13" x14ac:dyDescent="0.1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spans="1:28" ht="13" x14ac:dyDescent="0.15">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spans="1:28" ht="13" x14ac:dyDescent="0.15">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spans="1:28" ht="13" x14ac:dyDescent="0.15">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spans="1:28" ht="13" x14ac:dyDescent="0.15">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spans="1:28" ht="13" x14ac:dyDescent="0.15">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spans="1:28" ht="13" x14ac:dyDescent="0.15">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spans="1:28" ht="13" x14ac:dyDescent="0.15">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spans="1:28" ht="13" x14ac:dyDescent="0.15">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spans="1:28" ht="13" x14ac:dyDescent="0.15">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spans="1:28" ht="13" x14ac:dyDescent="0.1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spans="1:28" ht="13" x14ac:dyDescent="0.15">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spans="1:28" ht="13" x14ac:dyDescent="0.15">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spans="1:28" ht="13" x14ac:dyDescent="0.15">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spans="1:28" ht="13" x14ac:dyDescent="0.15">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spans="1:28" ht="13" x14ac:dyDescent="0.15">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spans="1:28" ht="13" x14ac:dyDescent="0.15">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spans="1:28" ht="13" x14ac:dyDescent="0.15">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spans="1:28" ht="13" x14ac:dyDescent="0.15">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spans="1:28" ht="13" x14ac:dyDescent="0.15">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spans="1:28" ht="13" x14ac:dyDescent="0.1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spans="1:28" ht="13" x14ac:dyDescent="0.15">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spans="1:28" ht="13" x14ac:dyDescent="0.15">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spans="1:28" ht="13" x14ac:dyDescent="0.15">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spans="1:28" ht="13" x14ac:dyDescent="0.15">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spans="1:28" ht="13" x14ac:dyDescent="0.15">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spans="1:28" ht="13" x14ac:dyDescent="0.15">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spans="1:28" ht="13" x14ac:dyDescent="0.15">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spans="1:28" ht="13" x14ac:dyDescent="0.15">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spans="1:28" ht="13" x14ac:dyDescent="0.15">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spans="1:28" ht="13" x14ac:dyDescent="0.1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spans="1:28" ht="13" x14ac:dyDescent="0.15">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spans="1:28" ht="13" x14ac:dyDescent="0.15">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spans="1:28" ht="13" x14ac:dyDescent="0.15">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spans="1:28" ht="13" x14ac:dyDescent="0.15">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spans="1:28" ht="13" x14ac:dyDescent="0.15">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spans="1:28" ht="13" x14ac:dyDescent="0.15">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spans="1:28" ht="13" x14ac:dyDescent="0.15">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spans="1:28" ht="13" x14ac:dyDescent="0.15">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spans="1:28" ht="13" x14ac:dyDescent="0.15">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spans="1:28" ht="13" x14ac:dyDescent="0.1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spans="1:28" ht="13" x14ac:dyDescent="0.15">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spans="1:28" ht="13" x14ac:dyDescent="0.15">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spans="1:28" ht="13" x14ac:dyDescent="0.15">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spans="1:28" ht="13" x14ac:dyDescent="0.15">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spans="1:28" ht="13" x14ac:dyDescent="0.15">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spans="1:28" ht="13" x14ac:dyDescent="0.15">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spans="1:28" ht="13" x14ac:dyDescent="0.15">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spans="1:28" ht="13" x14ac:dyDescent="0.15">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spans="1:28" ht="13" x14ac:dyDescent="0.15">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spans="1:28" ht="13" x14ac:dyDescent="0.1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spans="1:28" ht="13" x14ac:dyDescent="0.15">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spans="1:28" ht="13" x14ac:dyDescent="0.15">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spans="1:28" ht="13" x14ac:dyDescent="0.15">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spans="1:28" ht="13" x14ac:dyDescent="0.15">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spans="1:28" ht="13" x14ac:dyDescent="0.15">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spans="1:28" ht="13" x14ac:dyDescent="0.15">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spans="1:28" ht="13" x14ac:dyDescent="0.15">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spans="1:28" ht="13" x14ac:dyDescent="0.15">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spans="1:28" ht="13" x14ac:dyDescent="0.15">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spans="1:28" ht="13" x14ac:dyDescent="0.1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spans="1:28" ht="13" x14ac:dyDescent="0.15">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spans="1:28" ht="13" x14ac:dyDescent="0.15">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spans="1:28" ht="13" x14ac:dyDescent="0.15">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spans="1:28" ht="13" x14ac:dyDescent="0.15">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spans="1:28" ht="13" x14ac:dyDescent="0.15">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spans="1:28" ht="13" x14ac:dyDescent="0.15">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spans="1:28" ht="13" x14ac:dyDescent="0.15">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spans="1:28" ht="13" x14ac:dyDescent="0.15">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spans="1:28" ht="13" x14ac:dyDescent="0.15">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spans="1:28" ht="13" x14ac:dyDescent="0.1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spans="1:28" ht="13" x14ac:dyDescent="0.15">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spans="1:28" ht="13" x14ac:dyDescent="0.15">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spans="1:28" ht="13" x14ac:dyDescent="0.15">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spans="1:28" ht="13" x14ac:dyDescent="0.15">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spans="1:28" ht="13" x14ac:dyDescent="0.15">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spans="1:28" ht="13" x14ac:dyDescent="0.15">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spans="1:28" ht="13" x14ac:dyDescent="0.15">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spans="1:28" ht="13" x14ac:dyDescent="0.15">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spans="1:28" ht="13" x14ac:dyDescent="0.15">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spans="1:28" ht="13" x14ac:dyDescent="0.1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spans="1:28" ht="13" x14ac:dyDescent="0.15">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spans="1:28" ht="13" x14ac:dyDescent="0.15">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spans="1:28" ht="13" x14ac:dyDescent="0.15">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spans="1:28" ht="13" x14ac:dyDescent="0.15">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spans="1:28" ht="13" x14ac:dyDescent="0.15">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spans="1:28" ht="13" x14ac:dyDescent="0.15">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spans="1:28" ht="13" x14ac:dyDescent="0.15">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spans="1:28" ht="13" x14ac:dyDescent="0.15">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spans="1:28" ht="13" x14ac:dyDescent="0.15">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spans="1:28" ht="13" x14ac:dyDescent="0.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spans="1:28" ht="13" x14ac:dyDescent="0.15">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28"/>
  <sheetViews>
    <sheetView workbookViewId="0"/>
  </sheetViews>
  <sheetFormatPr baseColWidth="10" defaultColWidth="14.5" defaultRowHeight="15.75" customHeight="1" x14ac:dyDescent="0.15"/>
  <cols>
    <col min="1" max="1" width="25.5" customWidth="1"/>
    <col min="2" max="12" width="19.5" customWidth="1"/>
  </cols>
  <sheetData>
    <row r="1" spans="1:28" ht="18" x14ac:dyDescent="0.2">
      <c r="A1" s="1"/>
      <c r="B1" s="2"/>
      <c r="C1" s="1"/>
      <c r="D1" s="3" t="s">
        <v>0</v>
      </c>
      <c r="E1" s="1"/>
      <c r="F1" s="1"/>
      <c r="G1" s="1"/>
      <c r="H1" s="4"/>
      <c r="I1" s="1"/>
      <c r="J1" s="5"/>
      <c r="K1" s="5"/>
      <c r="L1" s="6"/>
      <c r="M1" s="6"/>
      <c r="N1" s="6"/>
      <c r="O1" s="6"/>
      <c r="P1" s="6"/>
      <c r="Q1" s="6"/>
      <c r="R1" s="6"/>
      <c r="S1" s="6"/>
      <c r="T1" s="6"/>
      <c r="U1" s="6"/>
      <c r="V1" s="6"/>
      <c r="W1" s="6"/>
      <c r="X1" s="6"/>
      <c r="Y1" s="6"/>
      <c r="Z1" s="6"/>
      <c r="AA1" s="6"/>
      <c r="AB1" s="6"/>
    </row>
    <row r="2" spans="1:28" ht="15.75" customHeight="1" x14ac:dyDescent="0.15">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spans="1:28" ht="15.75" customHeight="1" x14ac:dyDescent="0.15">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spans="1:28" ht="15.75" customHeight="1" x14ac:dyDescent="0.15">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spans="1:28" ht="15.75" customHeight="1" x14ac:dyDescent="0.1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spans="1:28" ht="15.75" customHeight="1" x14ac:dyDescent="0.15">
      <c r="A6" s="1"/>
      <c r="B6" s="10"/>
      <c r="C6" s="10"/>
      <c r="D6" s="10"/>
      <c r="E6" s="11"/>
      <c r="F6" s="10"/>
      <c r="G6" s="11"/>
      <c r="H6" s="12"/>
      <c r="I6" s="1"/>
      <c r="J6" s="9"/>
      <c r="K6" s="5"/>
      <c r="L6" s="6"/>
      <c r="M6" s="6"/>
      <c r="N6" s="6"/>
      <c r="O6" s="6"/>
      <c r="P6" s="6"/>
      <c r="Q6" s="6"/>
      <c r="R6" s="6"/>
      <c r="S6" s="6"/>
      <c r="T6" s="6"/>
      <c r="U6" s="6"/>
      <c r="V6" s="6"/>
      <c r="W6" s="6"/>
      <c r="X6" s="6"/>
      <c r="Y6" s="6"/>
      <c r="Z6" s="6"/>
      <c r="AA6" s="6"/>
      <c r="AB6" s="6"/>
    </row>
    <row r="7" spans="1:28" ht="15.75" customHeight="1" x14ac:dyDescent="0.15">
      <c r="A7" s="16"/>
      <c r="B7" s="17"/>
      <c r="C7" s="17"/>
      <c r="D7" s="17"/>
      <c r="E7" s="17"/>
      <c r="F7" s="17"/>
      <c r="G7" s="17"/>
      <c r="H7" s="17"/>
      <c r="I7" s="1"/>
      <c r="J7" s="5"/>
      <c r="K7" s="5"/>
      <c r="L7" s="6"/>
      <c r="M7" s="6"/>
      <c r="N7" s="6"/>
      <c r="O7" s="6"/>
      <c r="P7" s="6"/>
      <c r="Q7" s="6"/>
      <c r="R7" s="6"/>
      <c r="S7" s="6"/>
      <c r="T7" s="6"/>
      <c r="U7" s="6"/>
      <c r="V7" s="6"/>
      <c r="W7" s="6"/>
      <c r="X7" s="6"/>
      <c r="Y7" s="6"/>
      <c r="Z7" s="6"/>
      <c r="AA7" s="6"/>
      <c r="AB7" s="6"/>
    </row>
    <row r="8" spans="1:28" ht="15.75" customHeight="1" x14ac:dyDescent="0.15">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spans="1:28" ht="15.75" customHeight="1" x14ac:dyDescent="0.15">
      <c r="A9" s="21" t="s">
        <v>904</v>
      </c>
      <c r="B9" s="22" t="s">
        <v>905</v>
      </c>
      <c r="C9" s="23" t="str">
        <f ca="1">IFERROR(__xludf.DUMMYFUNCTION("GOOGLETRANSLATE(B9, ""en"", ""fr"")"),"Formation mannequin")</f>
        <v>Formation mannequin</v>
      </c>
      <c r="D9" s="23" t="str">
        <f ca="1">IFERROR(__xludf.DUMMYFUNCTION("GOOGLETRANSLATE(B9, ""en"", ""es"")"),"Maniquí de entrenamiento")</f>
        <v>Maniquí de entrenamiento</v>
      </c>
      <c r="E9" s="23" t="s">
        <v>906</v>
      </c>
      <c r="F9" s="23" t="str">
        <f ca="1">IFERROR(__xludf.DUMMYFUNCTION("GOOGLETRANSLATE(B9, ""en"", ""tr"")"),"Eğitim kukla")</f>
        <v>Eğitim kukla</v>
      </c>
      <c r="G9" s="23" t="str">
        <f ca="1">IFERROR(__xludf.DUMMYFUNCTION("GOOGLETRANSLATE(B9, ""en"", ""pt"")"),"Formação Dummy")</f>
        <v>Formação Dummy</v>
      </c>
      <c r="H9" s="24" t="str">
        <f ca="1">IFERROR(__xludf.DUMMYFUNCTION("GOOGLETRANSLATE(B9, ""en"", ""de"")"),"Trainingsübung")</f>
        <v>Trainingsübung</v>
      </c>
      <c r="I9" s="23" t="str">
        <f ca="1">IFERROR(__xludf.DUMMYFUNCTION("GOOGLETRANSLATE(B9, ""en"", ""pl"")"),"Treningowy manekin.")</f>
        <v>Treningowy manekin.</v>
      </c>
      <c r="J9" s="25" t="str">
        <f ca="1">IFERROR(__xludf.DUMMYFUNCTION("GOOGLETRANSLATE(B9, ""en"", ""zh"")"),"训练假人")</f>
        <v>训练假人</v>
      </c>
      <c r="K9" s="25" t="str">
        <f ca="1">IFERROR(__xludf.DUMMYFUNCTION("GOOGLETRANSLATE(B9, ""en"", ""vi"")"),"Đào tạo giả.")</f>
        <v>Đào tạo giả.</v>
      </c>
      <c r="L9" s="26" t="str">
        <f ca="1">IFERROR(__xludf.DUMMYFUNCTION("GOOGLETRANSLATE(B9, ""en"", ""hr"")"),"Trening dummy")</f>
        <v>Trening dummy</v>
      </c>
      <c r="M9" s="28"/>
      <c r="N9" s="28"/>
      <c r="O9" s="28"/>
      <c r="P9" s="28"/>
      <c r="Q9" s="28"/>
      <c r="R9" s="28"/>
      <c r="S9" s="28"/>
      <c r="T9" s="28"/>
      <c r="U9" s="28"/>
      <c r="V9" s="28"/>
      <c r="W9" s="28"/>
      <c r="X9" s="28"/>
      <c r="Y9" s="28"/>
      <c r="Z9" s="28"/>
      <c r="AA9" s="28"/>
      <c r="AB9" s="28"/>
    </row>
    <row r="10" spans="1:28" ht="15.75" customHeight="1" x14ac:dyDescent="0.15">
      <c r="A10" s="21" t="s">
        <v>907</v>
      </c>
      <c r="B10" s="22" t="s">
        <v>908</v>
      </c>
      <c r="C10" s="23" t="str">
        <f ca="1">IFERROR(__xludf.DUMMYFUNCTION("GOOGLETRANSLATE(B10, ""en"", ""fr"")"),"Bandit")</f>
        <v>Bandit</v>
      </c>
      <c r="D10" s="23" t="str">
        <f ca="1">IFERROR(__xludf.DUMMYFUNCTION("GOOGLETRANSLATE(B10, ""en"", ""es"")"),"Bandido")</f>
        <v>Bandido</v>
      </c>
      <c r="E10" s="23" t="s">
        <v>909</v>
      </c>
      <c r="F10" s="23" t="str">
        <f ca="1">IFERROR(__xludf.DUMMYFUNCTION("GOOGLETRANSLATE(B10, ""en"", ""tr"")"),"Haydut")</f>
        <v>Haydut</v>
      </c>
      <c r="G10" s="23" t="str">
        <f ca="1">IFERROR(__xludf.DUMMYFUNCTION("GOOGLETRANSLATE(B10, ""en"", ""pt"")"),"Bandido")</f>
        <v>Bandido</v>
      </c>
      <c r="H10" s="24" t="str">
        <f ca="1">IFERROR(__xludf.DUMMYFUNCTION("GOOGLETRANSLATE(B10, ""en"", ""de"")"),"Bandit")</f>
        <v>Bandit</v>
      </c>
      <c r="I10" s="23" t="str">
        <f ca="1">IFERROR(__xludf.DUMMYFUNCTION("GOOGLETRANSLATE(B10, ""en"", ""pl"")"),"Bandyta")</f>
        <v>Bandyta</v>
      </c>
      <c r="J10" s="25" t="str">
        <f ca="1">IFERROR(__xludf.DUMMYFUNCTION("GOOGLETRANSLATE(B10, ""en"", ""zh"")"),"土匪")</f>
        <v>土匪</v>
      </c>
      <c r="K10" s="25" t="str">
        <f ca="1">IFERROR(__xludf.DUMMYFUNCTION("GOOGLETRANSLATE(B10, ""en"", ""vi"")"),"Tên cướp.")</f>
        <v>Tên cướp.</v>
      </c>
      <c r="L10" s="26" t="str">
        <f ca="1">IFERROR(__xludf.DUMMYFUNCTION("GOOGLETRANSLATE(B10, ""en"", ""hr"")"),"Bandit")</f>
        <v>Bandit</v>
      </c>
      <c r="M10" s="28"/>
      <c r="N10" s="28"/>
      <c r="O10" s="28"/>
      <c r="P10" s="28"/>
      <c r="Q10" s="28"/>
      <c r="R10" s="28"/>
      <c r="S10" s="28"/>
      <c r="T10" s="28"/>
      <c r="U10" s="28"/>
      <c r="V10" s="28"/>
      <c r="W10" s="28"/>
      <c r="X10" s="28"/>
      <c r="Y10" s="28"/>
      <c r="Z10" s="28"/>
      <c r="AA10" s="28"/>
      <c r="AB10" s="28"/>
    </row>
    <row r="11" spans="1:28" ht="15.75" customHeight="1" x14ac:dyDescent="0.15">
      <c r="A11" s="21" t="s">
        <v>910</v>
      </c>
      <c r="B11" s="22" t="s">
        <v>911</v>
      </c>
      <c r="C11" s="23" t="str">
        <f ca="1">IFERROR(__xludf.DUMMYFUNCTION("GOOGLETRANSLATE(B11, ""en"", ""fr"")"),"Chef de bandit")</f>
        <v>Chef de bandit</v>
      </c>
      <c r="D11" s="23" t="str">
        <f ca="1">IFERROR(__xludf.DUMMYFUNCTION("GOOGLETRANSLATE(B11, ""en"", ""es"")"),"Líder de bandidos")</f>
        <v>Líder de bandidos</v>
      </c>
      <c r="E11" s="23" t="s">
        <v>912</v>
      </c>
      <c r="F11" s="23" t="str">
        <f ca="1">IFERROR(__xludf.DUMMYFUNCTION("GOOGLETRANSLATE(B11, ""en"", ""tr"")"),"Haydut lideri")</f>
        <v>Haydut lideri</v>
      </c>
      <c r="G11" s="23" t="str">
        <f ca="1">IFERROR(__xludf.DUMMYFUNCTION("GOOGLETRANSLATE(B11, ""en"", ""pt"")"),"Líder bandido")</f>
        <v>Líder bandido</v>
      </c>
      <c r="H11" s="24" t="str">
        <f ca="1">IFERROR(__xludf.DUMMYFUNCTION("GOOGLETRANSLATE(B11, ""en"", ""de"")"),"Bandit-Führer.")</f>
        <v>Bandit-Führer.</v>
      </c>
      <c r="I11" s="23" t="str">
        <f ca="1">IFERROR(__xludf.DUMMYFUNCTION("GOOGLETRANSLATE(B11, ""en"", ""pl"")"),"Lider Bandit.")</f>
        <v>Lider Bandit.</v>
      </c>
      <c r="J11" s="25" t="str">
        <f ca="1">IFERROR(__xludf.DUMMYFUNCTION("GOOGLETRANSLATE(B11, ""en"", ""zh"")"),"强盗领导者")</f>
        <v>强盗领导者</v>
      </c>
      <c r="K11" s="25" t="str">
        <f ca="1">IFERROR(__xludf.DUMMYFUNCTION("GOOGLETRANSLATE(B11, ""en"", ""vi"")"),"Nhà lãnh đạo tên cướp")</f>
        <v>Nhà lãnh đạo tên cướp</v>
      </c>
      <c r="L11" s="26" t="str">
        <f ca="1">IFERROR(__xludf.DUMMYFUNCTION("GOOGLETRANSLATE(B11, ""en"", ""hr"")"),"Vođa bandita")</f>
        <v>Vođa bandita</v>
      </c>
      <c r="M11" s="28"/>
      <c r="N11" s="28"/>
      <c r="O11" s="28"/>
      <c r="P11" s="28"/>
      <c r="Q11" s="28"/>
      <c r="R11" s="28"/>
      <c r="S11" s="28"/>
      <c r="T11" s="28"/>
      <c r="U11" s="28"/>
      <c r="V11" s="28"/>
      <c r="W11" s="28"/>
      <c r="X11" s="28"/>
      <c r="Y11" s="28"/>
      <c r="Z11" s="28"/>
      <c r="AA11" s="28"/>
      <c r="AB11" s="28"/>
    </row>
    <row r="12" spans="1:28" ht="15.75" customHeight="1" x14ac:dyDescent="0.15">
      <c r="A12" s="21" t="s">
        <v>913</v>
      </c>
      <c r="B12" s="22" t="s">
        <v>914</v>
      </c>
      <c r="C12" s="23" t="str">
        <f ca="1">IFERROR(__xludf.DUMMYFUNCTION("GOOGLETRANSLATE(B12, ""en"", ""fr"")"),"Assassin")</f>
        <v>Assassin</v>
      </c>
      <c r="D12" s="23" t="str">
        <f ca="1">IFERROR(__xludf.DUMMYFUNCTION("GOOGLETRANSLATE(B12, ""en"", ""es"")"),"Asesino")</f>
        <v>Asesino</v>
      </c>
      <c r="E12" s="23" t="s">
        <v>915</v>
      </c>
      <c r="F12" s="23" t="str">
        <f ca="1">IFERROR(__xludf.DUMMYFUNCTION("GOOGLETRANSLATE(B12, ""en"", ""tr"")"),"Assassin")</f>
        <v>Assassin</v>
      </c>
      <c r="G12" s="23" t="str">
        <f ca="1">IFERROR(__xludf.DUMMYFUNCTION("GOOGLETRANSLATE(B12, ""en"", ""pt"")"),"Assassino")</f>
        <v>Assassino</v>
      </c>
      <c r="H12" s="24" t="str">
        <f ca="1">IFERROR(__xludf.DUMMYFUNCTION("GOOGLETRANSLATE(B12, ""en"", ""de"")"),"Attentäter")</f>
        <v>Attentäter</v>
      </c>
      <c r="I12" s="23" t="str">
        <f ca="1">IFERROR(__xludf.DUMMYFUNCTION("GOOGLETRANSLATE(B12, ""en"", ""pl"")"),"Morderca")</f>
        <v>Morderca</v>
      </c>
      <c r="J12" s="25" t="str">
        <f ca="1">IFERROR(__xludf.DUMMYFUNCTION("GOOGLETRANSLATE(B12, ""en"", ""zh"")"),"刺客")</f>
        <v>刺客</v>
      </c>
      <c r="K12" s="25" t="str">
        <f ca="1">IFERROR(__xludf.DUMMYFUNCTION("GOOGLETRANSLATE(B12, ""en"", ""vi"")"),"Kẻ ám sát")</f>
        <v>Kẻ ám sát</v>
      </c>
      <c r="L12" s="26" t="str">
        <f ca="1">IFERROR(__xludf.DUMMYFUNCTION("GOOGLETRANSLATE(B12, ""en"", ""hr"")"),"Ubojica")</f>
        <v>Ubojica</v>
      </c>
      <c r="M12" s="28"/>
      <c r="N12" s="28"/>
      <c r="O12" s="28"/>
      <c r="P12" s="28"/>
      <c r="Q12" s="28"/>
      <c r="R12" s="28"/>
      <c r="S12" s="28"/>
      <c r="T12" s="28"/>
      <c r="U12" s="28"/>
      <c r="V12" s="28"/>
      <c r="W12" s="28"/>
      <c r="X12" s="28"/>
      <c r="Y12" s="28"/>
      <c r="Z12" s="28"/>
      <c r="AA12" s="28"/>
      <c r="AB12" s="28"/>
    </row>
    <row r="13" spans="1:28" ht="15.75" customHeight="1" x14ac:dyDescent="0.15">
      <c r="A13" s="21" t="s">
        <v>916</v>
      </c>
      <c r="B13" s="22" t="s">
        <v>917</v>
      </c>
      <c r="C13" s="23" t="str">
        <f ca="1">IFERROR(__xludf.DUMMYFUNCTION("GOOGLETRANSLATE(B13, ""en"", ""fr"")"),"Assassin principal")</f>
        <v>Assassin principal</v>
      </c>
      <c r="D13" s="23" t="str">
        <f ca="1">IFERROR(__xludf.DUMMYFUNCTION("GOOGLETRANSLATE(B13, ""en"", ""es"")"),"Asesino maestro")</f>
        <v>Asesino maestro</v>
      </c>
      <c r="E13" s="23" t="s">
        <v>918</v>
      </c>
      <c r="F13" s="23" t="str">
        <f ca="1">IFERROR(__xludf.DUMMYFUNCTION("GOOGLETRANSLATE(B13, ""en"", ""tr"")"),"Usta suikastçısı")</f>
        <v>Usta suikastçısı</v>
      </c>
      <c r="G13" s="23" t="str">
        <f ca="1">IFERROR(__xludf.DUMMYFUNCTION("GOOGLETRANSLATE(B13, ""en"", ""pt"")"),"Assassino mestre.")</f>
        <v>Assassino mestre.</v>
      </c>
      <c r="H13" s="24" t="str">
        <f ca="1">IFERROR(__xludf.DUMMYFUNCTION("GOOGLETRANSLATE(B13, ""en"", ""de"")"),"Master Assassin")</f>
        <v>Master Assassin</v>
      </c>
      <c r="I13" s="23" t="str">
        <f ca="1">IFERROR(__xludf.DUMMYFUNCTION("GOOGLETRANSLATE(B13, ""en"", ""pl"")"),"Master Assassin.")</f>
        <v>Master Assassin.</v>
      </c>
      <c r="J13" s="25" t="str">
        <f ca="1">IFERROR(__xludf.DUMMYFUNCTION("GOOGLETRANSLATE(B13, ""en"", ""zh"")"),"大师刺客")</f>
        <v>大师刺客</v>
      </c>
      <c r="K13" s="25" t="str">
        <f ca="1">IFERROR(__xludf.DUMMYFUNCTION("GOOGLETRANSLATE(B13, ""en"", ""vi"")"),"Sát thủ chủ")</f>
        <v>Sát thủ chủ</v>
      </c>
      <c r="L13" s="26" t="str">
        <f ca="1">IFERROR(__xludf.DUMMYFUNCTION("GOOGLETRANSLATE(B13, ""en"", ""hr"")"),"Majstor ubojica")</f>
        <v>Majstor ubojica</v>
      </c>
      <c r="M13" s="28"/>
      <c r="N13" s="28"/>
      <c r="O13" s="28"/>
      <c r="P13" s="28"/>
      <c r="Q13" s="28"/>
      <c r="R13" s="28"/>
      <c r="S13" s="28"/>
      <c r="T13" s="28"/>
      <c r="U13" s="28"/>
      <c r="V13" s="28"/>
      <c r="W13" s="28"/>
      <c r="X13" s="28"/>
      <c r="Y13" s="28"/>
      <c r="Z13" s="28"/>
      <c r="AA13" s="28"/>
      <c r="AB13" s="28"/>
    </row>
    <row r="14" spans="1:28" ht="15.75" customHeight="1" x14ac:dyDescent="0.15">
      <c r="A14" s="21" t="s">
        <v>919</v>
      </c>
      <c r="B14" s="22" t="s">
        <v>920</v>
      </c>
      <c r="C14" s="23" t="str">
        <f ca="1">IFERROR(__xludf.DUMMYFUNCTION("GOOGLETRANSLATE(B14, ""en"", ""fr"")"),"Chauve souris")</f>
        <v>Chauve souris</v>
      </c>
      <c r="D14" s="23" t="str">
        <f ca="1">IFERROR(__xludf.DUMMYFUNCTION("GOOGLETRANSLATE(B14, ""en"", ""es"")"),"Murciélago")</f>
        <v>Murciélago</v>
      </c>
      <c r="E14" s="23" t="str">
        <f ca="1">IFERROR(__xludf.DUMMYFUNCTION("GOOGLETRANSLATE(B14, ""en"", ""ru"")"),"Летучая мышь")</f>
        <v>Летучая мышь</v>
      </c>
      <c r="F14" s="23" t="str">
        <f ca="1">IFERROR(__xludf.DUMMYFUNCTION("GOOGLETRANSLATE(B14, ""en"", ""tr"")"),"Yarasa")</f>
        <v>Yarasa</v>
      </c>
      <c r="G14" s="23" t="str">
        <f ca="1">IFERROR(__xludf.DUMMYFUNCTION("GOOGLETRANSLATE(B14, ""en"", ""pt"")"),"Bastão")</f>
        <v>Bastão</v>
      </c>
      <c r="H14" s="24" t="str">
        <f ca="1">IFERROR(__xludf.DUMMYFUNCTION("GOOGLETRANSLATE(B14, ""en"", ""de"")"),"Schläger")</f>
        <v>Schläger</v>
      </c>
      <c r="I14" s="23" t="str">
        <f ca="1">IFERROR(__xludf.DUMMYFUNCTION("GOOGLETRANSLATE(B14, ""en"", ""pl"")"),"Nietoperz")</f>
        <v>Nietoperz</v>
      </c>
      <c r="J14" s="25" t="str">
        <f ca="1">IFERROR(__xludf.DUMMYFUNCTION("GOOGLETRANSLATE(B14, ""en"", ""zh"")"),"蝙蝠")</f>
        <v>蝙蝠</v>
      </c>
      <c r="K14" s="25" t="str">
        <f ca="1">IFERROR(__xludf.DUMMYFUNCTION("GOOGLETRANSLATE(B14, ""en"", ""vi"")"),"Con dơi")</f>
        <v>Con dơi</v>
      </c>
      <c r="L14" s="26" t="str">
        <f ca="1">IFERROR(__xludf.DUMMYFUNCTION("GOOGLETRANSLATE(B14, ""en"", ""hr"")"),"Šišmiš")</f>
        <v>Šišmiš</v>
      </c>
      <c r="M14" s="28"/>
      <c r="N14" s="28"/>
      <c r="O14" s="28"/>
      <c r="P14" s="28"/>
      <c r="Q14" s="28"/>
      <c r="R14" s="28"/>
      <c r="S14" s="28"/>
      <c r="T14" s="28"/>
      <c r="U14" s="28"/>
      <c r="V14" s="28"/>
      <c r="W14" s="28"/>
      <c r="X14" s="28"/>
      <c r="Y14" s="28"/>
      <c r="Z14" s="28"/>
      <c r="AA14" s="28"/>
      <c r="AB14" s="28"/>
    </row>
    <row r="15" spans="1:28" ht="15.75" customHeight="1" x14ac:dyDescent="0.15">
      <c r="A15" s="21" t="s">
        <v>921</v>
      </c>
      <c r="B15" s="22" t="s">
        <v>922</v>
      </c>
      <c r="C15" s="23" t="str">
        <f ca="1">IFERROR(__xludf.DUMMYFUNCTION("GOOGLETRANSLATE(B15, ""en"", ""fr"")"),"Règle")</f>
        <v>Règle</v>
      </c>
      <c r="D15" s="23" t="str">
        <f ca="1">IFERROR(__xludf.DUMMYFUNCTION("GOOGLETRANSLATE(B15, ""en"", ""es"")"),"Gobernante")</f>
        <v>Gobernante</v>
      </c>
      <c r="E15" s="23" t="str">
        <f ca="1">IFERROR(__xludf.DUMMYFUNCTION("GOOGLETRANSLATE(B15, ""en"", ""ru"")"),"Правитель")</f>
        <v>Правитель</v>
      </c>
      <c r="F15" s="23" t="str">
        <f ca="1">IFERROR(__xludf.DUMMYFUNCTION("GOOGLETRANSLATE(B15, ""en"", ""tr"")"),"Hükümdar")</f>
        <v>Hükümdar</v>
      </c>
      <c r="G15" s="23" t="str">
        <f ca="1">IFERROR(__xludf.DUMMYFUNCTION("GOOGLETRANSLATE(B15, ""en"", ""pt"")"),"Governante")</f>
        <v>Governante</v>
      </c>
      <c r="H15" s="24" t="str">
        <f ca="1">IFERROR(__xludf.DUMMYFUNCTION("GOOGLETRANSLATE(B15, ""en"", ""de"")"),"Herrscher")</f>
        <v>Herrscher</v>
      </c>
      <c r="I15" s="23" t="str">
        <f ca="1">IFERROR(__xludf.DUMMYFUNCTION("GOOGLETRANSLATE(B15, ""en"", ""pl"")"),"Linijka")</f>
        <v>Linijka</v>
      </c>
      <c r="J15" s="25" t="str">
        <f ca="1">IFERROR(__xludf.DUMMYFUNCTION("GOOGLETRANSLATE(B15, ""en"", ""zh"")"),"统治者")</f>
        <v>统治者</v>
      </c>
      <c r="K15" s="25" t="str">
        <f ca="1">IFERROR(__xludf.DUMMYFUNCTION("GOOGLETRANSLATE(B15, ""en"", ""vi"")"),"Cái thước kẻ")</f>
        <v>Cái thước kẻ</v>
      </c>
      <c r="L15" s="26" t="str">
        <f ca="1">IFERROR(__xludf.DUMMYFUNCTION("GOOGLETRANSLATE(B15, ""en"", ""hr"")"),"Vladar")</f>
        <v>Vladar</v>
      </c>
      <c r="M15" s="28"/>
      <c r="N15" s="28"/>
      <c r="O15" s="28"/>
      <c r="P15" s="28"/>
      <c r="Q15" s="28"/>
      <c r="R15" s="28"/>
      <c r="S15" s="28"/>
      <c r="T15" s="28"/>
      <c r="U15" s="28"/>
      <c r="V15" s="28"/>
      <c r="W15" s="28"/>
      <c r="X15" s="28"/>
      <c r="Y15" s="28"/>
      <c r="Z15" s="28"/>
      <c r="AA15" s="28"/>
      <c r="AB15" s="28"/>
    </row>
    <row r="16" spans="1:28" ht="15.75" customHeight="1" x14ac:dyDescent="0.15">
      <c r="A16" s="21" t="s">
        <v>923</v>
      </c>
      <c r="B16" s="22" t="s">
        <v>924</v>
      </c>
      <c r="C16" s="23" t="str">
        <f ca="1">IFERROR(__xludf.DUMMYFUNCTION("GOOGLETRANSLATE(B16, ""en"", ""fr"")"),"Aubergiste")</f>
        <v>Aubergiste</v>
      </c>
      <c r="D16" s="23" t="str">
        <f ca="1">IFERROR(__xludf.DUMMYFUNCTION("GOOGLETRANSLATE(B16, ""en"", ""es"")"),"Posadero")</f>
        <v>Posadero</v>
      </c>
      <c r="E16" s="23" t="s">
        <v>925</v>
      </c>
      <c r="F16" s="23" t="str">
        <f ca="1">IFERROR(__xludf.DUMMYFUNCTION("GOOGLETRANSLATE(B16, ""en"", ""tr"")"),"Hancı")</f>
        <v>Hancı</v>
      </c>
      <c r="G16" s="23" t="str">
        <f ca="1">IFERROR(__xludf.DUMMYFUNCTION("GOOGLETRANSLATE(B16, ""en"", ""pt"")"),"Innkeeper")</f>
        <v>Innkeeper</v>
      </c>
      <c r="H16" s="24" t="str">
        <f ca="1">IFERROR(__xludf.DUMMYFUNCTION("GOOGLETRANSLATE(B16, ""en"", ""de"")"),"Gastwirt")</f>
        <v>Gastwirt</v>
      </c>
      <c r="I16" s="23" t="str">
        <f ca="1">IFERROR(__xludf.DUMMYFUNCTION("GOOGLETRANSLATE(B16, ""en"", ""pl"")"),"Oberżysta")</f>
        <v>Oberżysta</v>
      </c>
      <c r="J16" s="25" t="str">
        <f ca="1">IFERROR(__xludf.DUMMYFUNCTION("GOOGLETRANSLATE(B16, ""en"", ""zh"")"),"Innkeeper.")</f>
        <v>Innkeeper.</v>
      </c>
      <c r="K16" s="25" t="str">
        <f ca="1">IFERROR(__xludf.DUMMYFUNCTION("GOOGLETRANSLATE(B16, ""en"", ""vi"")"),"Chủ nhà trọ")</f>
        <v>Chủ nhà trọ</v>
      </c>
      <c r="L16" s="26" t="str">
        <f ca="1">IFERROR(__xludf.DUMMYFUNCTION("GOOGLETRANSLATE(B16, ""en"", ""hr"")"),"Gostioničar")</f>
        <v>Gostioničar</v>
      </c>
      <c r="M16" s="28"/>
      <c r="N16" s="28"/>
      <c r="O16" s="28"/>
      <c r="P16" s="28"/>
      <c r="Q16" s="28"/>
      <c r="R16" s="28"/>
      <c r="S16" s="28"/>
      <c r="T16" s="28"/>
      <c r="U16" s="28"/>
      <c r="V16" s="28"/>
      <c r="W16" s="28"/>
      <c r="X16" s="28"/>
      <c r="Y16" s="28"/>
      <c r="Z16" s="28"/>
      <c r="AA16" s="28"/>
      <c r="AB16" s="28"/>
    </row>
    <row r="17" spans="1:28" ht="15.75" customHeight="1" x14ac:dyDescent="0.15">
      <c r="A17" s="21" t="s">
        <v>926</v>
      </c>
      <c r="B17" s="22" t="s">
        <v>927</v>
      </c>
      <c r="C17" s="23" t="str">
        <f ca="1">IFERROR(__xludf.DUMMYFUNCTION("GOOGLETRANSLATE(B17, ""en"", ""fr"")"),"Arène maître")</f>
        <v>Arène maître</v>
      </c>
      <c r="D17" s="23" t="str">
        <f ca="1">IFERROR(__xludf.DUMMYFUNCTION("GOOGLETRANSLATE(B17, ""en"", ""es"")"),"Arena Maestro")</f>
        <v>Arena Maestro</v>
      </c>
      <c r="E17" s="23" t="s">
        <v>928</v>
      </c>
      <c r="F17" s="23" t="str">
        <f ca="1">IFERROR(__xludf.DUMMYFUNCTION("GOOGLETRANSLATE(B17, ""en"", ""tr"")"),"Arena master")</f>
        <v>Arena master</v>
      </c>
      <c r="G17" s="23" t="str">
        <f ca="1">IFERROR(__xludf.DUMMYFUNCTION("GOOGLETRANSLATE(B17, ""en"", ""pt"")"),"Arena Master.")</f>
        <v>Arena Master.</v>
      </c>
      <c r="H17" s="24" t="str">
        <f ca="1">IFERROR(__xludf.DUMMYFUNCTION("GOOGLETRANSLATE(B17, ""en"", ""de"")"),"Arena Meister.")</f>
        <v>Arena Meister.</v>
      </c>
      <c r="I17" s="23" t="str">
        <f ca="1">IFERROR(__xludf.DUMMYFUNCTION("GOOGLETRANSLATE(B17, ""en"", ""pl"")"),"Arena Master.")</f>
        <v>Arena Master.</v>
      </c>
      <c r="J17" s="25" t="str">
        <f ca="1">IFERROR(__xludf.DUMMYFUNCTION("GOOGLETRANSLATE(B17, ""en"", ""zh"")"),"竞技场大师")</f>
        <v>竞技场大师</v>
      </c>
      <c r="K17" s="25" t="str">
        <f ca="1">IFERROR(__xludf.DUMMYFUNCTION("GOOGLETRANSLATE(B17, ""en"", ""vi"")"),"Đấu trường Master.")</f>
        <v>Đấu trường Master.</v>
      </c>
      <c r="L17" s="26" t="str">
        <f ca="1">IFERROR(__xludf.DUMMYFUNCTION("GOOGLETRANSLATE(B17, ""en"", ""hr"")"),"Arena")</f>
        <v>Arena</v>
      </c>
      <c r="M17" s="28"/>
      <c r="N17" s="28"/>
      <c r="O17" s="28"/>
      <c r="P17" s="28"/>
      <c r="Q17" s="28"/>
      <c r="R17" s="28"/>
      <c r="S17" s="28"/>
      <c r="T17" s="28"/>
      <c r="U17" s="28"/>
      <c r="V17" s="28"/>
      <c r="W17" s="28"/>
      <c r="X17" s="28"/>
      <c r="Y17" s="28"/>
      <c r="Z17" s="28"/>
      <c r="AA17" s="28"/>
      <c r="AB17" s="28"/>
    </row>
    <row r="18" spans="1:28" ht="15.75" customHeight="1" x14ac:dyDescent="0.15">
      <c r="A18" s="21" t="s">
        <v>929</v>
      </c>
      <c r="B18" s="22" t="s">
        <v>930</v>
      </c>
      <c r="C18" s="23" t="str">
        <f ca="1">IFERROR(__xludf.DUMMYFUNCTION("GOOGLETRANSLATE(B18, ""en"", ""fr"")"),"marchande")</f>
        <v>marchande</v>
      </c>
      <c r="D18" s="23" t="str">
        <f ca="1">IFERROR(__xludf.DUMMYFUNCTION("GOOGLETRANSLATE(B18, ""en"", ""es"")"),"Comerciante")</f>
        <v>Comerciante</v>
      </c>
      <c r="E18" s="23" t="str">
        <f ca="1">IFERROR(__xludf.DUMMYFUNCTION("GOOGLETRANSLATE(B18, ""en"", ""ru"")"),"Торговец")</f>
        <v>Торговец</v>
      </c>
      <c r="F18" s="23" t="str">
        <f ca="1">IFERROR(__xludf.DUMMYFUNCTION("GOOGLETRANSLATE(B18, ""en"", ""tr"")"),"Tüccar")</f>
        <v>Tüccar</v>
      </c>
      <c r="G18" s="23" t="str">
        <f ca="1">IFERROR(__xludf.DUMMYFUNCTION("GOOGLETRANSLATE(B18, ""en"", ""pt"")"),"Comerciante")</f>
        <v>Comerciante</v>
      </c>
      <c r="H18" s="24" t="str">
        <f ca="1">IFERROR(__xludf.DUMMYFUNCTION("GOOGLETRANSLATE(B18, ""en"", ""de"")"),"Händler")</f>
        <v>Händler</v>
      </c>
      <c r="I18" s="23" t="str">
        <f ca="1">IFERROR(__xludf.DUMMYFUNCTION("GOOGLETRANSLATE(B18, ""en"", ""pl"")"),"Kupiec")</f>
        <v>Kupiec</v>
      </c>
      <c r="J18" s="25" t="str">
        <f ca="1">IFERROR(__xludf.DUMMYFUNCTION("GOOGLETRANSLATE(B18, ""en"", ""zh"")"),"商人")</f>
        <v>商人</v>
      </c>
      <c r="K18" s="25" t="str">
        <f ca="1">IFERROR(__xludf.DUMMYFUNCTION("GOOGLETRANSLATE(B18, ""en"", ""vi"")"),"Merchant.")</f>
        <v>Merchant.</v>
      </c>
      <c r="L18" s="26" t="str">
        <f ca="1">IFERROR(__xludf.DUMMYFUNCTION("GOOGLETRANSLATE(B18, ""en"", ""hr"")"),"Trgovac")</f>
        <v>Trgovac</v>
      </c>
      <c r="M18" s="28"/>
      <c r="N18" s="28"/>
      <c r="O18" s="28"/>
      <c r="P18" s="28"/>
      <c r="Q18" s="28"/>
      <c r="R18" s="28"/>
      <c r="S18" s="28"/>
      <c r="T18" s="28"/>
      <c r="U18" s="28"/>
      <c r="V18" s="28"/>
      <c r="W18" s="28"/>
      <c r="X18" s="28"/>
      <c r="Y18" s="28"/>
      <c r="Z18" s="28"/>
      <c r="AA18" s="28"/>
      <c r="AB18" s="28"/>
    </row>
    <row r="19" spans="1:28" ht="15.75" customHeight="1" x14ac:dyDescent="0.15">
      <c r="A19" s="21" t="s">
        <v>931</v>
      </c>
      <c r="B19" s="22" t="s">
        <v>932</v>
      </c>
      <c r="C19" s="23" t="str">
        <f ca="1">IFERROR(__xludf.DUMMYFUNCTION("GOOGLETRANSLATE(B19, ""en"", ""fr"")"),"Melee Merchant")</f>
        <v>Melee Merchant</v>
      </c>
      <c r="D19" s="23" t="str">
        <f ca="1">IFERROR(__xludf.DUMMYFUNCTION("GOOGLETRANSLATE(B19, ""en"", ""es"")"),"Comerciante cuerpo a cuerpo")</f>
        <v>Comerciante cuerpo a cuerpo</v>
      </c>
      <c r="E19" s="23" t="str">
        <f ca="1">IFERROR(__xludf.DUMMYFUNCTION("GOOGLETRANSLATE(B19, ""en"", ""ru"")"),"Международный коммерсант")</f>
        <v>Международный коммерсант</v>
      </c>
      <c r="F19" s="23" t="str">
        <f ca="1">IFERROR(__xludf.DUMMYFUNCTION("GOOGLETRANSLATE(B19, ""en"", ""tr"")"),"Melee tüccarı")</f>
        <v>Melee tüccarı</v>
      </c>
      <c r="G19" s="23" t="str">
        <f ca="1">IFERROR(__xludf.DUMMYFUNCTION("GOOGLETRANSLATE(B19, ""en"", ""pt"")"),"Melee Merchant.")</f>
        <v>Melee Merchant.</v>
      </c>
      <c r="H19" s="24" t="str">
        <f ca="1">IFERROR(__xludf.DUMMYFUNCTION("GOOGLETRANSLATE(B19, ""en"", ""de"")"),"Nahkampfhändler")</f>
        <v>Nahkampfhändler</v>
      </c>
      <c r="I19" s="23" t="str">
        <f ca="1">IFERROR(__xludf.DUMMYFUNCTION("GOOGLETRANSLATE(B19, ""en"", ""pl"")"),"Mechant")</f>
        <v>Mechant</v>
      </c>
      <c r="J19" s="25" t="str">
        <f ca="1">IFERROR(__xludf.DUMMYFUNCTION("GOOGLETRANSLATE(B19, ""en"", ""zh"")"),"MELEE MERCHANT.")</f>
        <v>MELEE MERCHANT.</v>
      </c>
      <c r="K19" s="25" t="str">
        <f ca="1">IFERROR(__xludf.DUMMYFUNCTION("GOOGLETRANSLATE(B19, ""en"", ""vi"")"),"Melee Merchant.")</f>
        <v>Melee Merchant.</v>
      </c>
      <c r="L19" s="26" t="str">
        <f ca="1">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spans="1:28" ht="15.75" customHeight="1" x14ac:dyDescent="0.15">
      <c r="A20" s="21" t="s">
        <v>933</v>
      </c>
      <c r="B20" s="22" t="s">
        <v>934</v>
      </c>
      <c r="C20" s="23" t="str">
        <f ca="1">IFERROR(__xludf.DUMMYFUNCTION("GOOGLETRANSLATE(B20, ""en"", ""fr"")"),"Marchand à distance")</f>
        <v>Marchand à distance</v>
      </c>
      <c r="D20" s="23" t="str">
        <f ca="1">IFERROR(__xludf.DUMMYFUNCTION("GOOGLETRANSLATE(B20, ""en"", ""es"")"),"Comerciante a distancia")</f>
        <v>Comerciante a distancia</v>
      </c>
      <c r="E20" s="23" t="str">
        <f ca="1">IFERROR(__xludf.DUMMYFUNCTION("GOOGLETRANSLATE(B20, ""en"", ""ru"")"),"Рандованный торговец")</f>
        <v>Рандованный торговец</v>
      </c>
      <c r="F20" s="23" t="str">
        <f ca="1">IFERROR(__xludf.DUMMYFUNCTION("GOOGLETRANSLATE(B20, ""en"", ""tr"")"),"Değişimli tüccar")</f>
        <v>Değişimli tüccar</v>
      </c>
      <c r="G20" s="23" t="str">
        <f ca="1">IFERROR(__xludf.DUMMYFUNCTION("GOOGLETRANSLATE(B20, ""en"", ""pt"")"),"Comerciante variou")</f>
        <v>Comerciante variou</v>
      </c>
      <c r="H20" s="24" t="str">
        <f ca="1">IFERROR(__xludf.DUMMYFUNCTION("GOOGLETRANSLATE(B20, ""en"", ""de"")"),"Rangierter Kaufmann.")</f>
        <v>Rangierter Kaufmann.</v>
      </c>
      <c r="I20" s="23" t="str">
        <f ca="1">IFERROR(__xludf.DUMMYFUNCTION("GOOGLETRANSLATE(B20, ""en"", ""pl"")"),"Sprzedawca dystansowy")</f>
        <v>Sprzedawca dystansowy</v>
      </c>
      <c r="J20" s="25" t="str">
        <f ca="1">IFERROR(__xludf.DUMMYFUNCTION("GOOGLETRANSLATE(B20, ""en"", ""zh"")"),"广泛的商人")</f>
        <v>广泛的商人</v>
      </c>
      <c r="K20" s="25" t="str">
        <f ca="1">IFERROR(__xludf.DUMMYFUNCTION("GOOGLETRANSLATE(B20, ""en"", ""vi"")"),"Merchant tầm xa")</f>
        <v>Merchant tầm xa</v>
      </c>
      <c r="L20" s="26" t="str">
        <f ca="1">IFERROR(__xludf.DUMMYFUNCTION("GOOGLETRANSLATE(B20, ""en"", ""hr"")"),"Kretao trgovca")</f>
        <v>Kretao trgovca</v>
      </c>
      <c r="M20" s="28"/>
      <c r="N20" s="28"/>
      <c r="O20" s="28"/>
      <c r="P20" s="28"/>
      <c r="Q20" s="28"/>
      <c r="R20" s="28"/>
      <c r="S20" s="28"/>
      <c r="T20" s="28"/>
      <c r="U20" s="28"/>
      <c r="V20" s="28"/>
      <c r="W20" s="28"/>
      <c r="X20" s="28"/>
      <c r="Y20" s="28"/>
      <c r="Z20" s="28"/>
      <c r="AA20" s="28"/>
      <c r="AB20" s="28"/>
    </row>
    <row r="21" spans="1:28" ht="15.75" customHeight="1" x14ac:dyDescent="0.15">
      <c r="A21" s="21" t="s">
        <v>935</v>
      </c>
      <c r="B21" s="22" t="s">
        <v>936</v>
      </c>
      <c r="C21" s="23" t="str">
        <f ca="1">IFERROR(__xludf.DUMMYFUNCTION("GOOGLETRANSLATE(B21, ""en"", ""fr"")"),"Magic Merchant")</f>
        <v>Magic Merchant</v>
      </c>
      <c r="D21" s="23" t="str">
        <f ca="1">IFERROR(__xludf.DUMMYFUNCTION("GOOGLETRANSLATE(B21, ""en"", ""es"")"),"Comerciante mágico")</f>
        <v>Comerciante mágico</v>
      </c>
      <c r="E21" s="23" t="str">
        <f ca="1">IFERROR(__xludf.DUMMYFUNCTION("GOOGLETRANSLATE(B21, ""en"", ""ru"")"),"Волшебный торговец")</f>
        <v>Волшебный торговец</v>
      </c>
      <c r="F21" s="23" t="str">
        <f ca="1">IFERROR(__xludf.DUMMYFUNCTION("GOOGLETRANSLATE(B21, ""en"", ""tr"")"),"Sihirli tüccar")</f>
        <v>Sihirli tüccar</v>
      </c>
      <c r="G21" s="23" t="str">
        <f ca="1">IFERROR(__xludf.DUMMYFUNCTION("GOOGLETRANSLATE(B21, ""en"", ""pt"")"),"Magic Merchant")</f>
        <v>Magic Merchant</v>
      </c>
      <c r="H21" s="24" t="str">
        <f ca="1">IFERROR(__xludf.DUMMYFUNCTION("GOOGLETRANSLATE(B21, ""en"", ""de"")"),"Magischer Kaufmann.")</f>
        <v>Magischer Kaufmann.</v>
      </c>
      <c r="I21" s="23" t="str">
        <f ca="1">IFERROR(__xludf.DUMMYFUNCTION("GOOGLETRANSLATE(B21, ""en"", ""pl"")"),"Magiczny handel.")</f>
        <v>Magiczny handel.</v>
      </c>
      <c r="J21" s="25" t="str">
        <f ca="1">IFERROR(__xludf.DUMMYFUNCTION("GOOGLETRANSLATE(B21, ""en"", ""zh"")"),"魔术家")</f>
        <v>魔术家</v>
      </c>
      <c r="K21" s="25" t="str">
        <f ca="1">IFERROR(__xludf.DUMMYFUNCTION("GOOGLETRANSLATE(B21, ""en"", ""vi"")"),"MAGIC MERCHANT.")</f>
        <v>MAGIC MERCHANT.</v>
      </c>
      <c r="L21" s="26" t="str">
        <f ca="1">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spans="1:28" ht="15.75" customHeight="1" x14ac:dyDescent="0.15">
      <c r="A22" s="21" t="s">
        <v>937</v>
      </c>
      <c r="B22" s="22" t="s">
        <v>938</v>
      </c>
      <c r="C22" s="23" t="str">
        <f ca="1">IFERROR(__xludf.DUMMYFUNCTION("GOOGLETRANSLATE(B22, ""en"", ""fr"")"),"Marchand d'outils")</f>
        <v>Marchand d'outils</v>
      </c>
      <c r="D22" s="23" t="str">
        <f ca="1">IFERROR(__xludf.DUMMYFUNCTION("GOOGLETRANSLATE(B22, ""en"", ""es"")"),"Comerciante de herramientas")</f>
        <v>Comerciante de herramientas</v>
      </c>
      <c r="E22" s="23" t="str">
        <f ca="1">IFERROR(__xludf.DUMMYFUNCTION("GOOGLETRANSLATE(B22, ""en"", ""ru"")"),"Инструмент торговца")</f>
        <v>Инструмент торговца</v>
      </c>
      <c r="F22" s="23" t="str">
        <f ca="1">IFERROR(__xludf.DUMMYFUNCTION("GOOGLETRANSLATE(B22, ""en"", ""tr"")"),"Alet tüccarı")</f>
        <v>Alet tüccarı</v>
      </c>
      <c r="G22" s="23" t="str">
        <f ca="1">IFERROR(__xludf.DUMMYFUNCTION("GOOGLETRANSLATE(B22, ""en"", ""pt"")"),"Comerciante de ferramentas")</f>
        <v>Comerciante de ferramentas</v>
      </c>
      <c r="H22" s="24" t="str">
        <f ca="1">IFERROR(__xludf.DUMMYFUNCTION("GOOGLETRANSLATE(B22, ""en"", ""de"")"),"Werkzeughändler.")</f>
        <v>Werkzeughändler.</v>
      </c>
      <c r="I22" s="23" t="str">
        <f ca="1">IFERROR(__xludf.DUMMYFUNCTION("GOOGLETRANSLATE(B22, ""en"", ""pl"")"),"Merant narzędziowy")</f>
        <v>Merant narzędziowy</v>
      </c>
      <c r="J22" s="25" t="str">
        <f ca="1">IFERROR(__xludf.DUMMYFUNCTION("GOOGLETRANSLATE(B22, ""en"", ""zh"")"),"工具商人")</f>
        <v>工具商人</v>
      </c>
      <c r="K22" s="25" t="str">
        <f ca="1">IFERROR(__xludf.DUMMYFUNCTION("GOOGLETRANSLATE(B22, ""en"", ""vi"")"),"Công cụ Merchant.")</f>
        <v>Công cụ Merchant.</v>
      </c>
      <c r="L22" s="26" t="str">
        <f ca="1">IFERROR(__xludf.DUMMYFUNCTION("GOOGLETRANSLATE(B22, ""en"", ""hr"")"),"Trgovac alata")</f>
        <v>Trgovac alata</v>
      </c>
      <c r="M22" s="28"/>
      <c r="N22" s="28"/>
      <c r="O22" s="28"/>
      <c r="P22" s="28"/>
      <c r="Q22" s="28"/>
      <c r="R22" s="28"/>
      <c r="S22" s="28"/>
      <c r="T22" s="28"/>
      <c r="U22" s="28"/>
      <c r="V22" s="28"/>
      <c r="W22" s="28"/>
      <c r="X22" s="28"/>
      <c r="Y22" s="28"/>
      <c r="Z22" s="28"/>
      <c r="AA22" s="28"/>
      <c r="AB22" s="28"/>
    </row>
    <row r="23" spans="1:28" ht="15.75" customHeight="1" x14ac:dyDescent="0.15">
      <c r="A23" s="21" t="s">
        <v>939</v>
      </c>
      <c r="B23" s="22" t="s">
        <v>940</v>
      </c>
      <c r="C23" s="23" t="str">
        <f ca="1">IFERROR(__xludf.DUMMYFUNCTION("GOOGLETRANSLATE(B23, ""en"", ""fr"")"),"Marchand de nains")</f>
        <v>Marchand de nains</v>
      </c>
      <c r="D23" s="23" t="str">
        <f ca="1">IFERROR(__xludf.DUMMYFUNCTION("GOOGLETRANSLATE(B23, ""en"", ""es"")"),"Comerciante enano")</f>
        <v>Comerciante enano</v>
      </c>
      <c r="E23" s="23" t="str">
        <f ca="1">IFERROR(__xludf.DUMMYFUNCTION("GOOGLETRANSLATE(B23, ""en"", ""ru"")"),"Гварфовый торговец")</f>
        <v>Гварфовый торговец</v>
      </c>
      <c r="F23" s="23" t="str">
        <f ca="1">IFERROR(__xludf.DUMMYFUNCTION("GOOGLETRANSLATE(B23, ""en"", ""tr"")"),"Cüce tüccarı")</f>
        <v>Cüce tüccarı</v>
      </c>
      <c r="G23" s="23" t="str">
        <f ca="1">IFERROR(__xludf.DUMMYFUNCTION("GOOGLETRANSLATE(B23, ""en"", ""pt"")"),"Comerciante anão")</f>
        <v>Comerciante anão</v>
      </c>
      <c r="H23" s="24" t="str">
        <f ca="1">IFERROR(__xludf.DUMMYFUNCTION("GOOGLETRANSLATE(B23, ""en"", ""de"")"),"Zwerghändler.")</f>
        <v>Zwerghändler.</v>
      </c>
      <c r="I23" s="23" t="str">
        <f ca="1">IFERROR(__xludf.DUMMYFUNCTION("GOOGLETRANSLATE(B23, ""en"", ""pl"")"),"Karłowy Merchant.")</f>
        <v>Karłowy Merchant.</v>
      </c>
      <c r="J23" s="25" t="str">
        <f ca="1">IFERROR(__xludf.DUMMYFUNCTION("GOOGLETRANSLATE(B23, ""en"", ""zh"")"),"矮人商人")</f>
        <v>矮人商人</v>
      </c>
      <c r="K23" s="25" t="str">
        <f ca="1">IFERROR(__xludf.DUMMYFUNCTION("GOOGLETRANSLATE(B23, ""en"", ""vi"")"),"Merchant Dwarf.")</f>
        <v>Merchant Dwarf.</v>
      </c>
      <c r="L23" s="26" t="str">
        <f ca="1">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spans="1:28" ht="15.75" customHeight="1" x14ac:dyDescent="0.15">
      <c r="A24" s="21" t="s">
        <v>941</v>
      </c>
      <c r="B24" s="22" t="s">
        <v>942</v>
      </c>
      <c r="C24" s="23" t="str">
        <f ca="1">IFERROR(__xludf.DUMMYFUNCTION("GOOGLETRANSLATE(B24, ""en"", ""fr"")"),"Bibliothécaire")</f>
        <v>Bibliothécaire</v>
      </c>
      <c r="D24" s="23" t="str">
        <f ca="1">IFERROR(__xludf.DUMMYFUNCTION("GOOGLETRANSLATE(B24, ""en"", ""es"")"),"bibliotecario")</f>
        <v>bibliotecario</v>
      </c>
      <c r="E24" s="23" t="str">
        <f ca="1">IFERROR(__xludf.DUMMYFUNCTION("GOOGLETRANSLATE(B24, ""en"", ""ru"")"),"Библиотекарь")</f>
        <v>Библиотекарь</v>
      </c>
      <c r="F24" s="23" t="str">
        <f ca="1">IFERROR(__xludf.DUMMYFUNCTION("GOOGLETRANSLATE(B24, ""en"", ""tr"")"),"Kütüphaneci")</f>
        <v>Kütüphaneci</v>
      </c>
      <c r="G24" s="23" t="str">
        <f ca="1">IFERROR(__xludf.DUMMYFUNCTION("GOOGLETRANSLATE(B24, ""en"", ""pt"")"),"Bibliotecário")</f>
        <v>Bibliotecário</v>
      </c>
      <c r="H24" s="24" t="str">
        <f ca="1">IFERROR(__xludf.DUMMYFUNCTION("GOOGLETRANSLATE(B24, ""en"", ""de"")"),"Bibliothekar")</f>
        <v>Bibliothekar</v>
      </c>
      <c r="I24" s="23" t="str">
        <f ca="1">IFERROR(__xludf.DUMMYFUNCTION("GOOGLETRANSLATE(B24, ""en"", ""pl"")"),"Bibliotekarz")</f>
        <v>Bibliotekarz</v>
      </c>
      <c r="J24" s="25" t="str">
        <f ca="1">IFERROR(__xludf.DUMMYFUNCTION("GOOGLETRANSLATE(B24, ""en"", ""zh"")"),"图书管理员")</f>
        <v>图书管理员</v>
      </c>
      <c r="K24" s="25" t="str">
        <f ca="1">IFERROR(__xludf.DUMMYFUNCTION("GOOGLETRANSLATE(B24, ""en"", ""vi"")"),"Thủ thư")</f>
        <v>Thủ thư</v>
      </c>
      <c r="L24" s="26" t="str">
        <f ca="1">IFERROR(__xludf.DUMMYFUNCTION("GOOGLETRANSLATE(B24, ""en"", ""hr"")"),"Knjižničar")</f>
        <v>Knjižničar</v>
      </c>
      <c r="M24" s="28"/>
      <c r="N24" s="28"/>
      <c r="O24" s="28"/>
      <c r="P24" s="28"/>
      <c r="Q24" s="28"/>
      <c r="R24" s="28"/>
      <c r="S24" s="28"/>
      <c r="T24" s="28"/>
      <c r="U24" s="28"/>
      <c r="V24" s="28"/>
      <c r="W24" s="28"/>
      <c r="X24" s="28"/>
      <c r="Y24" s="28"/>
      <c r="Z24" s="28"/>
      <c r="AA24" s="28"/>
      <c r="AB24" s="28"/>
    </row>
    <row r="25" spans="1:28" ht="15.75" customHeight="1" x14ac:dyDescent="0.15">
      <c r="A25" s="21" t="s">
        <v>943</v>
      </c>
      <c r="B25" s="22" t="s">
        <v>944</v>
      </c>
      <c r="C25" s="23" t="str">
        <f ca="1">IFERROR(__xludf.DUMMYFUNCTION("GOOGLETRANSLATE(B25, ""en"", ""fr"")"),"Merchant Omni")</f>
        <v>Merchant Omni</v>
      </c>
      <c r="D25" s="23" t="str">
        <f ca="1">IFERROR(__xludf.DUMMYFUNCTION("GOOGLETRANSLATE(B25, ""en"", ""es"")"),"Omni Merchant")</f>
        <v>Omni Merchant</v>
      </c>
      <c r="E25" s="23" t="str">
        <f ca="1">IFERROR(__xludf.DUMMYFUNCTION("GOOGLETRANSLATE(B25, ""en"", ""ru"")"),"Омни торговцы")</f>
        <v>Омни торговцы</v>
      </c>
      <c r="F25" s="23" t="str">
        <f ca="1">IFERROR(__xludf.DUMMYFUNCTION("GOOGLETRANSLATE(B25, ""en"", ""tr"")"),"Omni tüccar")</f>
        <v>Omni tüccar</v>
      </c>
      <c r="G25" s="23" t="str">
        <f ca="1">IFERROR(__xludf.DUMMYFUNCTION("GOOGLETRANSLATE(B25, ""en"", ""pt"")"),"Omni Merchant")</f>
        <v>Omni Merchant</v>
      </c>
      <c r="H25" s="24" t="str">
        <f ca="1">IFERROR(__xludf.DUMMYFUNCTION("GOOGLETRANSLATE(B25, ""en"", ""de"")"),"Omni merchant.")</f>
        <v>Omni merchant.</v>
      </c>
      <c r="I25" s="23" t="str">
        <f ca="1">IFERROR(__xludf.DUMMYFUNCTION("GOOGLETRANSLATE(B25, ""en"", ""pl"")"),"Merant Omni.")</f>
        <v>Merant Omni.</v>
      </c>
      <c r="J25" s="25" t="str">
        <f ca="1">IFERROR(__xludf.DUMMYFUNCTION("GOOGLETRANSLATE(B25, ""en"", ""zh"")"),"omn​​i商人")</f>
        <v>omn​​i商人</v>
      </c>
      <c r="K25" s="25" t="str">
        <f ca="1">IFERROR(__xludf.DUMMYFUNCTION("GOOGLETRANSLATE(B25, ""en"", ""vi"")"),"Omni Merchant.")</f>
        <v>Omni Merchant.</v>
      </c>
      <c r="L25" s="26" t="str">
        <f ca="1">IFERROR(__xludf.DUMMYFUNCTION("GOOGLETRANSLATE(B25, ""en"", ""hr"")"),"Omča")</f>
        <v>Omča</v>
      </c>
      <c r="M25" s="28"/>
      <c r="N25" s="28"/>
      <c r="O25" s="28"/>
      <c r="P25" s="28"/>
      <c r="Q25" s="28"/>
      <c r="R25" s="28"/>
      <c r="S25" s="28"/>
      <c r="T25" s="28"/>
      <c r="U25" s="28"/>
      <c r="V25" s="28"/>
      <c r="W25" s="28"/>
      <c r="X25" s="28"/>
      <c r="Y25" s="28"/>
      <c r="Z25" s="28"/>
      <c r="AA25" s="28"/>
      <c r="AB25" s="28"/>
    </row>
    <row r="26" spans="1:28" ht="15.75" customHeight="1" x14ac:dyDescent="0.15">
      <c r="A26" s="21" t="s">
        <v>945</v>
      </c>
      <c r="B26" s="22" t="s">
        <v>946</v>
      </c>
      <c r="C26" s="23" t="str">
        <f ca="1">IFERROR(__xludf.DUMMYFUNCTION("GOOGLETRANSLATE(B26, ""en"", ""fr"")"),"Prêtre")</f>
        <v>Prêtre</v>
      </c>
      <c r="D26" s="23" t="str">
        <f ca="1">IFERROR(__xludf.DUMMYFUNCTION("GOOGLETRANSLATE(B26, ""en"", ""es"")"),"Sacerdote")</f>
        <v>Sacerdote</v>
      </c>
      <c r="E26" s="23" t="str">
        <f ca="1">IFERROR(__xludf.DUMMYFUNCTION("GOOGLETRANSLATE(B26, ""en"", ""ru"")"),"Священник")</f>
        <v>Священник</v>
      </c>
      <c r="F26" s="23" t="str">
        <f ca="1">IFERROR(__xludf.DUMMYFUNCTION("GOOGLETRANSLATE(B26, ""en"", ""tr"")"),"Rahip")</f>
        <v>Rahip</v>
      </c>
      <c r="G26" s="23" t="str">
        <f ca="1">IFERROR(__xludf.DUMMYFUNCTION("GOOGLETRANSLATE(B26, ""en"", ""pt"")"),"Padre")</f>
        <v>Padre</v>
      </c>
      <c r="H26" s="24" t="str">
        <f ca="1">IFERROR(__xludf.DUMMYFUNCTION("GOOGLETRANSLATE(B26, ""en"", ""de"")"),"Priester")</f>
        <v>Priester</v>
      </c>
      <c r="I26" s="23" t="str">
        <f ca="1">IFERROR(__xludf.DUMMYFUNCTION("GOOGLETRANSLATE(B26, ""en"", ""pl"")"),"Kapłan")</f>
        <v>Kapłan</v>
      </c>
      <c r="J26" s="25" t="str">
        <f ca="1">IFERROR(__xludf.DUMMYFUNCTION("GOOGLETRANSLATE(B26, ""en"", ""zh"")"),"牧师")</f>
        <v>牧师</v>
      </c>
      <c r="K26" s="25" t="str">
        <f ca="1">IFERROR(__xludf.DUMMYFUNCTION("GOOGLETRANSLATE(B26, ""en"", ""vi"")"),"Thầy tu")</f>
        <v>Thầy tu</v>
      </c>
      <c r="L26" s="26" t="str">
        <f ca="1">IFERROR(__xludf.DUMMYFUNCTION("GOOGLETRANSLATE(B26, ""en"", ""hr"")"),"Svećenik")</f>
        <v>Svećenik</v>
      </c>
      <c r="M26" s="28"/>
      <c r="N26" s="28"/>
      <c r="O26" s="28"/>
      <c r="P26" s="28"/>
      <c r="Q26" s="28"/>
      <c r="R26" s="28"/>
      <c r="S26" s="28"/>
      <c r="T26" s="28"/>
      <c r="U26" s="28"/>
      <c r="V26" s="28"/>
      <c r="W26" s="28"/>
      <c r="X26" s="28"/>
      <c r="Y26" s="28"/>
      <c r="Z26" s="28"/>
      <c r="AA26" s="28"/>
      <c r="AB26" s="28"/>
    </row>
    <row r="27" spans="1:28" ht="15.75" customHeight="1" x14ac:dyDescent="0.15">
      <c r="A27" s="21" t="s">
        <v>947</v>
      </c>
      <c r="B27" s="22" t="s">
        <v>948</v>
      </c>
      <c r="C27" s="23" t="str">
        <f ca="1">IFERROR(__xludf.DUMMYFUNCTION("GOOGLETRANSLATE(B27, ""en"", ""fr"")"),"Citoyen")</f>
        <v>Citoyen</v>
      </c>
      <c r="D27" s="23" t="str">
        <f ca="1">IFERROR(__xludf.DUMMYFUNCTION("GOOGLETRANSLATE(B27, ""en"", ""es"")"),"Ciudadano")</f>
        <v>Ciudadano</v>
      </c>
      <c r="E27" s="23" t="str">
        <f ca="1">IFERROR(__xludf.DUMMYFUNCTION("GOOGLETRANSLATE(B27, ""en"", ""ru"")"),"Гражданин")</f>
        <v>Гражданин</v>
      </c>
      <c r="F27" s="23" t="str">
        <f ca="1">IFERROR(__xludf.DUMMYFUNCTION("GOOGLETRANSLATE(B27, ""en"", ""tr"")"),"Vatandaş")</f>
        <v>Vatandaş</v>
      </c>
      <c r="G27" s="23" t="str">
        <f ca="1">IFERROR(__xludf.DUMMYFUNCTION("GOOGLETRANSLATE(B27, ""en"", ""pt"")"),"Cidadão")</f>
        <v>Cidadão</v>
      </c>
      <c r="H27" s="24" t="str">
        <f ca="1">IFERROR(__xludf.DUMMYFUNCTION("GOOGLETRANSLATE(B27, ""en"", ""de"")"),"Bürger")</f>
        <v>Bürger</v>
      </c>
      <c r="I27" s="23" t="str">
        <f ca="1">IFERROR(__xludf.DUMMYFUNCTION("GOOGLETRANSLATE(B27, ""en"", ""pl"")"),"Obywatel")</f>
        <v>Obywatel</v>
      </c>
      <c r="J27" s="25" t="str">
        <f ca="1">IFERROR(__xludf.DUMMYFUNCTION("GOOGLETRANSLATE(B27, ""en"", ""zh"")"),"公民")</f>
        <v>公民</v>
      </c>
      <c r="K27" s="25" t="str">
        <f ca="1">IFERROR(__xludf.DUMMYFUNCTION("GOOGLETRANSLATE(B27, ""en"", ""vi"")"),"Công dân")</f>
        <v>Công dân</v>
      </c>
      <c r="L27" s="26" t="str">
        <f ca="1">IFERROR(__xludf.DUMMYFUNCTION("GOOGLETRANSLATE(B27, ""en"", ""hr"")"),"Građanin")</f>
        <v>Građanin</v>
      </c>
      <c r="M27" s="28"/>
      <c r="N27" s="28"/>
      <c r="O27" s="28"/>
      <c r="P27" s="28"/>
      <c r="Q27" s="28"/>
      <c r="R27" s="28"/>
      <c r="S27" s="28"/>
      <c r="T27" s="28"/>
      <c r="U27" s="28"/>
      <c r="V27" s="28"/>
      <c r="W27" s="28"/>
      <c r="X27" s="28"/>
      <c r="Y27" s="28"/>
      <c r="Z27" s="28"/>
      <c r="AA27" s="28"/>
      <c r="AB27" s="28"/>
    </row>
    <row r="28" spans="1:28" ht="15.75" customHeight="1" x14ac:dyDescent="0.15">
      <c r="A28" s="21" t="s">
        <v>949</v>
      </c>
      <c r="B28" s="22" t="s">
        <v>950</v>
      </c>
      <c r="C28" s="23" t="str">
        <f ca="1">IFERROR(__xludf.DUMMYFUNCTION("GOOGLETRANSLATE(B28, ""en"", ""fr"")"),"Nain")</f>
        <v>Nain</v>
      </c>
      <c r="D28" s="23" t="str">
        <f ca="1">IFERROR(__xludf.DUMMYFUNCTION("GOOGLETRANSLATE(B28, ""en"", ""es"")"),"Enano")</f>
        <v>Enano</v>
      </c>
      <c r="E28" s="23" t="str">
        <f ca="1">IFERROR(__xludf.DUMMYFUNCTION("GOOGLETRANSLATE(B28, ""en"", ""ru"")"),"Гнома")</f>
        <v>Гнома</v>
      </c>
      <c r="F28" s="23" t="str">
        <f ca="1">IFERROR(__xludf.DUMMYFUNCTION("GOOGLETRANSLATE(B28, ""en"", ""tr"")"),"Cüce")</f>
        <v>Cüce</v>
      </c>
      <c r="G28" s="23" t="str">
        <f ca="1">IFERROR(__xludf.DUMMYFUNCTION("GOOGLETRANSLATE(B28, ""en"", ""pt"")"),"Anão")</f>
        <v>Anão</v>
      </c>
      <c r="H28" s="24" t="str">
        <f ca="1">IFERROR(__xludf.DUMMYFUNCTION("GOOGLETRANSLATE(B28, ""en"", ""de"")"),"Zwerg")</f>
        <v>Zwerg</v>
      </c>
      <c r="I28" s="23" t="str">
        <f ca="1">IFERROR(__xludf.DUMMYFUNCTION("GOOGLETRANSLATE(B28, ""en"", ""pl"")"),"Krasnolud")</f>
        <v>Krasnolud</v>
      </c>
      <c r="J28" s="25" t="str">
        <f ca="1">IFERROR(__xludf.DUMMYFUNCTION("GOOGLETRANSLATE(B28, ""en"", ""zh"")"),"矮人")</f>
        <v>矮人</v>
      </c>
      <c r="K28" s="25" t="str">
        <f ca="1">IFERROR(__xludf.DUMMYFUNCTION("GOOGLETRANSLATE(B28, ""en"", ""vi"")"),"Quỷ lùn")</f>
        <v>Quỷ lùn</v>
      </c>
      <c r="L28" s="26" t="str">
        <f ca="1">IFERROR(__xludf.DUMMYFUNCTION("GOOGLETRANSLATE(B28, ""en"", ""hr"")"),"Patuljak")</f>
        <v>Patuljak</v>
      </c>
      <c r="M28" s="28"/>
      <c r="N28" s="28"/>
      <c r="O28" s="28"/>
      <c r="P28" s="28"/>
      <c r="Q28" s="28"/>
      <c r="R28" s="28"/>
      <c r="S28" s="28"/>
      <c r="T28" s="28"/>
      <c r="U28" s="28"/>
      <c r="V28" s="28"/>
      <c r="W28" s="28"/>
      <c r="X28" s="28"/>
      <c r="Y28" s="28"/>
      <c r="Z28" s="28"/>
      <c r="AA28" s="28"/>
      <c r="AB28" s="28"/>
    </row>
    <row r="29" spans="1:28" ht="15.75" customHeight="1" x14ac:dyDescent="0.15">
      <c r="A29" s="21" t="s">
        <v>951</v>
      </c>
      <c r="B29" s="22" t="s">
        <v>952</v>
      </c>
      <c r="C29" s="23" t="str">
        <f ca="1">IFERROR(__xludf.DUMMYFUNCTION("GOOGLETRANSLATE(B29, ""en"", ""fr"")"),"Guerrier nain")</f>
        <v>Guerrier nain</v>
      </c>
      <c r="D29" s="23" t="str">
        <f ca="1">IFERROR(__xludf.DUMMYFUNCTION("GOOGLETRANSLATE(B29, ""en"", ""es"")"),"Guerrero enano")</f>
        <v>Guerrero enano</v>
      </c>
      <c r="E29" s="23" t="str">
        <f ca="1">IFERROR(__xludf.DUMMYFUNCTION("GOOGLETRANSLATE(B29, ""en"", ""ru"")"),"Гварфорский воин")</f>
        <v>Гварфорский воин</v>
      </c>
      <c r="F29" s="23" t="str">
        <f ca="1">IFERROR(__xludf.DUMMYFUNCTION("GOOGLETRANSLATE(B29, ""en"", ""tr"")"),"Cüce savaşçısı")</f>
        <v>Cüce savaşçısı</v>
      </c>
      <c r="G29" s="23" t="str">
        <f ca="1">IFERROR(__xludf.DUMMYFUNCTION("GOOGLETRANSLATE(B29, ""en"", ""pt"")"),"Guerreiro anão")</f>
        <v>Guerreiro anão</v>
      </c>
      <c r="H29" s="24" t="str">
        <f ca="1">IFERROR(__xludf.DUMMYFUNCTION("GOOGLETRANSLATE(B29, ""en"", ""de"")"),"Zwergkrieger.")</f>
        <v>Zwergkrieger.</v>
      </c>
      <c r="I29" s="23" t="str">
        <f ca="1">IFERROR(__xludf.DUMMYFUNCTION("GOOGLETRANSLATE(B29, ""en"", ""pl"")"),"Dwarfowy wojownik")</f>
        <v>Dwarfowy wojownik</v>
      </c>
      <c r="J29" s="25" t="str">
        <f ca="1">IFERROR(__xludf.DUMMYFUNCTION("GOOGLETRANSLATE(B29, ""en"", ""zh"")"),"矮人战士")</f>
        <v>矮人战士</v>
      </c>
      <c r="K29" s="25" t="str">
        <f ca="1">IFERROR(__xludf.DUMMYFUNCTION("GOOGLETRANSLATE(B29, ""en"", ""vi"")"),"Chiến binh Dwarf.")</f>
        <v>Chiến binh Dwarf.</v>
      </c>
      <c r="L29" s="26" t="str">
        <f ca="1">IFERROR(__xludf.DUMMYFUNCTION("GOOGLETRANSLATE(B29, ""en"", ""hr"")"),"Patuljak ratnik")</f>
        <v>Patuljak ratnik</v>
      </c>
      <c r="M29" s="28"/>
      <c r="N29" s="28"/>
      <c r="O29" s="28"/>
      <c r="P29" s="28"/>
      <c r="Q29" s="28"/>
      <c r="R29" s="28"/>
      <c r="S29" s="28"/>
      <c r="T29" s="28"/>
      <c r="U29" s="28"/>
      <c r="V29" s="28"/>
      <c r="W29" s="28"/>
      <c r="X29" s="28"/>
      <c r="Y29" s="28"/>
      <c r="Z29" s="28"/>
      <c r="AA29" s="28"/>
      <c r="AB29" s="28"/>
    </row>
    <row r="30" spans="1:28" ht="15.75" customHeight="1" x14ac:dyDescent="0.15">
      <c r="A30" s="21" t="s">
        <v>953</v>
      </c>
      <c r="B30" s="22" t="s">
        <v>954</v>
      </c>
      <c r="C30" s="23" t="str">
        <f ca="1">IFERROR(__xludf.DUMMYFUNCTION("GOOGLETRANSLATE(B30, ""en"", ""fr"")"),"Chevalier nain")</f>
        <v>Chevalier nain</v>
      </c>
      <c r="D30" s="23" t="str">
        <f ca="1">IFERROR(__xludf.DUMMYFUNCTION("GOOGLETRANSLATE(B30, ""en"", ""es"")"),"Caballero enano")</f>
        <v>Caballero enano</v>
      </c>
      <c r="E30" s="23" t="str">
        <f ca="1">IFERROR(__xludf.DUMMYFUNCTION("GOOGLETRANSLATE(B30, ""en"", ""ru"")"),"Гварф рыцарь")</f>
        <v>Гварф рыцарь</v>
      </c>
      <c r="F30" s="23" t="str">
        <f ca="1">IFERROR(__xludf.DUMMYFUNCTION("GOOGLETRANSLATE(B30, ""en"", ""tr"")"),"Cüce şövalye")</f>
        <v>Cüce şövalye</v>
      </c>
      <c r="G30" s="23" t="str">
        <f ca="1">IFERROR(__xludf.DUMMYFUNCTION("GOOGLETRANSLATE(B30, ""en"", ""pt"")"),"Dwarf Knight.")</f>
        <v>Dwarf Knight.</v>
      </c>
      <c r="H30" s="24" t="str">
        <f ca="1">IFERROR(__xludf.DUMMYFUNCTION("GOOGLETRANSLATE(B30, ""en"", ""de"")"),"Zwergritter")</f>
        <v>Zwergritter</v>
      </c>
      <c r="I30" s="23" t="str">
        <f ca="1">IFERROR(__xludf.DUMMYFUNCTION("GOOGLETRANSLATE(B30, ""en"", ""pl"")"),"Knight")</f>
        <v>Knight</v>
      </c>
      <c r="J30" s="25" t="str">
        <f ca="1">IFERROR(__xludf.DUMMYFUNCTION("GOOGLETRANSLATE(B30, ""en"", ""zh"")"),"矮人骑士")</f>
        <v>矮人骑士</v>
      </c>
      <c r="K30" s="25" t="str">
        <f ca="1">IFERROR(__xludf.DUMMYFUNCTION("GOOGLETRANSLATE(B30, ""en"", ""vi"")"),"Dwarf Knight.")</f>
        <v>Dwarf Knight.</v>
      </c>
      <c r="L30" s="26" t="str">
        <f ca="1">IFERROR(__xludf.DUMMYFUNCTION("GOOGLETRANSLATE(B30, ""en"", ""hr"")"),"Dwarf vitez")</f>
        <v>Dwarf vitez</v>
      </c>
      <c r="M30" s="28"/>
      <c r="N30" s="28"/>
      <c r="O30" s="28"/>
      <c r="P30" s="28"/>
      <c r="Q30" s="28"/>
      <c r="R30" s="28"/>
      <c r="S30" s="28"/>
      <c r="T30" s="28"/>
      <c r="U30" s="28"/>
      <c r="V30" s="28"/>
      <c r="W30" s="28"/>
      <c r="X30" s="28"/>
      <c r="Y30" s="28"/>
      <c r="Z30" s="28"/>
      <c r="AA30" s="28"/>
      <c r="AB30" s="28"/>
    </row>
    <row r="31" spans="1:28" ht="15.75" customHeight="1" x14ac:dyDescent="0.15">
      <c r="A31" s="21" t="s">
        <v>955</v>
      </c>
      <c r="B31" s="22" t="s">
        <v>956</v>
      </c>
      <c r="C31" s="23" t="str">
        <f ca="1">IFERROR(__xludf.DUMMYFUNCTION("GOOGLETRANSLATE(B31, ""en"", ""fr"")"),"Chevalier")</f>
        <v>Chevalier</v>
      </c>
      <c r="D31" s="23" t="str">
        <f ca="1">IFERROR(__xludf.DUMMYFUNCTION("GOOGLETRANSLATE(B31, ""en"", ""es"")"),"Caballero")</f>
        <v>Caballero</v>
      </c>
      <c r="E31" s="23" t="str">
        <f ca="1">IFERROR(__xludf.DUMMYFUNCTION("GOOGLETRANSLATE(B31, ""en"", ""ru"")"),"рыцарь")</f>
        <v>рыцарь</v>
      </c>
      <c r="F31" s="23" t="str">
        <f ca="1">IFERROR(__xludf.DUMMYFUNCTION("GOOGLETRANSLATE(B31, ""en"", ""tr"")"),"Şövalye")</f>
        <v>Şövalye</v>
      </c>
      <c r="G31" s="23" t="str">
        <f ca="1">IFERROR(__xludf.DUMMYFUNCTION("GOOGLETRANSLATE(B31, ""en"", ""pt"")"),"Cavaleiro")</f>
        <v>Cavaleiro</v>
      </c>
      <c r="H31" s="24" t="str">
        <f ca="1">IFERROR(__xludf.DUMMYFUNCTION("GOOGLETRANSLATE(B31, ""en"", ""de"")"),"Ritter")</f>
        <v>Ritter</v>
      </c>
      <c r="I31" s="23" t="str">
        <f ca="1">IFERROR(__xludf.DUMMYFUNCTION("GOOGLETRANSLATE(B31, ""en"", ""pl"")"),"Rycerz")</f>
        <v>Rycerz</v>
      </c>
      <c r="J31" s="25" t="str">
        <f ca="1">IFERROR(__xludf.DUMMYFUNCTION("GOOGLETRANSLATE(B31, ""en"", ""zh"")"),"骑士")</f>
        <v>骑士</v>
      </c>
      <c r="K31" s="25" t="str">
        <f ca="1">IFERROR(__xludf.DUMMYFUNCTION("GOOGLETRANSLATE(B31, ""en"", ""vi"")"),"Hiệp sỹ")</f>
        <v>Hiệp sỹ</v>
      </c>
      <c r="L31" s="26" t="str">
        <f ca="1">IFERROR(__xludf.DUMMYFUNCTION("GOOGLETRANSLATE(B31, ""en"", ""hr"")"),"Vitez")</f>
        <v>Vitez</v>
      </c>
      <c r="M31" s="28"/>
      <c r="N31" s="28"/>
      <c r="O31" s="28"/>
      <c r="P31" s="28"/>
      <c r="Q31" s="28"/>
      <c r="R31" s="28"/>
      <c r="S31" s="28"/>
      <c r="T31" s="28"/>
      <c r="U31" s="28"/>
      <c r="V31" s="28"/>
      <c r="W31" s="28"/>
      <c r="X31" s="28"/>
      <c r="Y31" s="28"/>
      <c r="Z31" s="28"/>
      <c r="AA31" s="28"/>
      <c r="AB31" s="28"/>
    </row>
    <row r="32" spans="1:28" ht="15.75" customHeight="1" x14ac:dyDescent="0.15">
      <c r="A32" s="21" t="s">
        <v>957</v>
      </c>
      <c r="B32" s="22" t="s">
        <v>958</v>
      </c>
      <c r="C32" s="23" t="str">
        <f ca="1">IFERROR(__xludf.DUMMYFUNCTION("GOOGLETRANSLATE(B32, ""en"", ""fr"")"),"Le commandant")</f>
        <v>Le commandant</v>
      </c>
      <c r="D32" s="23" t="str">
        <f ca="1">IFERROR(__xludf.DUMMYFUNCTION("GOOGLETRANSLATE(B32, ""en"", ""es"")"),"Comandante")</f>
        <v>Comandante</v>
      </c>
      <c r="E32" s="23" t="str">
        <f ca="1">IFERROR(__xludf.DUMMYFUNCTION("GOOGLETRANSLATE(B32, ""en"", ""ru"")"),"Командир")</f>
        <v>Командир</v>
      </c>
      <c r="F32" s="23" t="str">
        <f ca="1">IFERROR(__xludf.DUMMYFUNCTION("GOOGLETRANSLATE(B32, ""en"", ""tr"")"),"Komutan")</f>
        <v>Komutan</v>
      </c>
      <c r="G32" s="23" t="str">
        <f ca="1">IFERROR(__xludf.DUMMYFUNCTION("GOOGLETRANSLATE(B32, ""en"", ""pt"")"),"Comandante")</f>
        <v>Comandante</v>
      </c>
      <c r="H32" s="24" t="str">
        <f ca="1">IFERROR(__xludf.DUMMYFUNCTION("GOOGLETRANSLATE(B32, ""en"", ""de"")"),"Kommandant")</f>
        <v>Kommandant</v>
      </c>
      <c r="I32" s="23" t="str">
        <f ca="1">IFERROR(__xludf.DUMMYFUNCTION("GOOGLETRANSLATE(B32, ""en"", ""pl"")"),"Dowódca")</f>
        <v>Dowódca</v>
      </c>
      <c r="J32" s="25" t="str">
        <f ca="1">IFERROR(__xludf.DUMMYFUNCTION("GOOGLETRANSLATE(B32, ""en"", ""zh"")"),"指挥官")</f>
        <v>指挥官</v>
      </c>
      <c r="K32" s="25" t="str">
        <f ca="1">IFERROR(__xludf.DUMMYFUNCTION("GOOGLETRANSLATE(B32, ""en"", ""vi"")"),"Chỉ huy")</f>
        <v>Chỉ huy</v>
      </c>
      <c r="L32" s="26" t="str">
        <f ca="1">IFERROR(__xludf.DUMMYFUNCTION("GOOGLETRANSLATE(B32, ""en"", ""hr"")"),"Zapovjednik")</f>
        <v>Zapovjednik</v>
      </c>
      <c r="M32" s="28"/>
      <c r="N32" s="28"/>
      <c r="O32" s="28"/>
      <c r="P32" s="28"/>
      <c r="Q32" s="28"/>
      <c r="R32" s="28"/>
      <c r="S32" s="28"/>
      <c r="T32" s="28"/>
      <c r="U32" s="28"/>
      <c r="V32" s="28"/>
      <c r="W32" s="28"/>
      <c r="X32" s="28"/>
      <c r="Y32" s="28"/>
      <c r="Z32" s="28"/>
      <c r="AA32" s="28"/>
      <c r="AB32" s="28"/>
    </row>
    <row r="33" spans="1:28" ht="15.75" customHeight="1" x14ac:dyDescent="0.15">
      <c r="A33" s="21" t="s">
        <v>959</v>
      </c>
      <c r="B33" s="22" t="s">
        <v>960</v>
      </c>
      <c r="C33" s="23" t="str">
        <f ca="1">IFERROR(__xludf.DUMMYFUNCTION("GOOGLETRANSLATE(B33, ""en"", ""fr"")"),"guerrier")</f>
        <v>guerrier</v>
      </c>
      <c r="D33" s="23" t="str">
        <f ca="1">IFERROR(__xludf.DUMMYFUNCTION("GOOGLETRANSLATE(B33, ""en"", ""es"")"),"Guerrero")</f>
        <v>Guerrero</v>
      </c>
      <c r="E33" s="23" t="str">
        <f ca="1">IFERROR(__xludf.DUMMYFUNCTION("GOOGLETRANSLATE(B33, ""en"", ""ru"")"),"Воин")</f>
        <v>Воин</v>
      </c>
      <c r="F33" s="23" t="str">
        <f ca="1">IFERROR(__xludf.DUMMYFUNCTION("GOOGLETRANSLATE(B33, ""en"", ""tr"")"),"Savaşçı")</f>
        <v>Savaşçı</v>
      </c>
      <c r="G33" s="23" t="str">
        <f ca="1">IFERROR(__xludf.DUMMYFUNCTION("GOOGLETRANSLATE(B33, ""en"", ""pt"")"),"Guerreiro")</f>
        <v>Guerreiro</v>
      </c>
      <c r="H33" s="24" t="str">
        <f ca="1">IFERROR(__xludf.DUMMYFUNCTION("GOOGLETRANSLATE(B33, ""en"", ""de"")"),"Krieger")</f>
        <v>Krieger</v>
      </c>
      <c r="I33" s="23" t="str">
        <f ca="1">IFERROR(__xludf.DUMMYFUNCTION("GOOGLETRANSLATE(B33, ""en"", ""pl"")"),"Wojownik")</f>
        <v>Wojownik</v>
      </c>
      <c r="J33" s="25" t="str">
        <f ca="1">IFERROR(__xludf.DUMMYFUNCTION("GOOGLETRANSLATE(B33, ""en"", ""zh"")"),"战士")</f>
        <v>战士</v>
      </c>
      <c r="K33" s="25" t="str">
        <f ca="1">IFERROR(__xludf.DUMMYFUNCTION("GOOGLETRANSLATE(B33, ""en"", ""vi"")"),"chiến binh")</f>
        <v>chiến binh</v>
      </c>
      <c r="L33" s="26" t="str">
        <f ca="1">IFERROR(__xludf.DUMMYFUNCTION("GOOGLETRANSLATE(B33, ""en"", ""hr"")"),"Ratnik")</f>
        <v>Ratnik</v>
      </c>
      <c r="M33" s="28"/>
      <c r="N33" s="28"/>
      <c r="O33" s="28"/>
      <c r="P33" s="28"/>
      <c r="Q33" s="28"/>
      <c r="R33" s="28"/>
      <c r="S33" s="28"/>
      <c r="T33" s="28"/>
      <c r="U33" s="28"/>
      <c r="V33" s="28"/>
      <c r="W33" s="28"/>
      <c r="X33" s="28"/>
      <c r="Y33" s="28"/>
      <c r="Z33" s="28"/>
      <c r="AA33" s="28"/>
      <c r="AB33" s="28"/>
    </row>
    <row r="34" spans="1:28" ht="15.75" customHeight="1" x14ac:dyDescent="0.15">
      <c r="A34" s="21" t="s">
        <v>961</v>
      </c>
      <c r="B34" s="22" t="s">
        <v>962</v>
      </c>
      <c r="C34" s="23" t="str">
        <f ca="1">IFERROR(__xludf.DUMMYFUNCTION("GOOGLETRANSLATE(B34, ""en"", ""fr"")"),"Berserker")</f>
        <v>Berserker</v>
      </c>
      <c r="D34" s="23" t="str">
        <f ca="1">IFERROR(__xludf.DUMMYFUNCTION("GOOGLETRANSLATE(B34, ""en"", ""es"")"),"frenético")</f>
        <v>frenético</v>
      </c>
      <c r="E34" s="23" t="str">
        <f ca="1">IFERROR(__xludf.DUMMYFUNCTION("GOOGLETRANSLATE(B34, ""en"", ""ru"")"),"Берсерка")</f>
        <v>Берсерка</v>
      </c>
      <c r="F34" s="23" t="str">
        <f ca="1">IFERROR(__xludf.DUMMYFUNCTION("GOOGLETRANSLATE(B34, ""en"", ""tr"")"),"Çılgın kimse")</f>
        <v>Çılgın kimse</v>
      </c>
      <c r="G34" s="23" t="str">
        <f ca="1">IFERROR(__xludf.DUMMYFUNCTION("GOOGLETRANSLATE(B34, ""en"", ""pt"")"),"Berserker.")</f>
        <v>Berserker.</v>
      </c>
      <c r="H34" s="24" t="str">
        <f ca="1">IFERROR(__xludf.DUMMYFUNCTION("GOOGLETRANSLATE(B34, ""en"", ""de"")"),"Berserker")</f>
        <v>Berserker</v>
      </c>
      <c r="I34" s="23" t="str">
        <f ca="1">IFERROR(__xludf.DUMMYFUNCTION("GOOGLETRANSLATE(B34, ""en"", ""pl"")"),"Berserker.")</f>
        <v>Berserker.</v>
      </c>
      <c r="J34" s="25" t="str">
        <f ca="1">IFERROR(__xludf.DUMMYFUNCTION("GOOGLETRANSLATE(B34, ""en"", ""zh"")"),"Berserker.")</f>
        <v>Berserker.</v>
      </c>
      <c r="K34" s="25" t="str">
        <f ca="1">IFERROR(__xludf.DUMMYFUNCTION("GOOGLETRANSLATE(B34, ""en"", ""vi"")"),"Berserker.")</f>
        <v>Berserker.</v>
      </c>
      <c r="L34" s="26" t="str">
        <f ca="1">IFERROR(__xludf.DUMMYFUNCTION("GOOGLETRANSLATE(B34, ""en"", ""hr"")"),"Ludak")</f>
        <v>Ludak</v>
      </c>
      <c r="M34" s="28"/>
      <c r="N34" s="28"/>
      <c r="O34" s="28"/>
      <c r="P34" s="28"/>
      <c r="Q34" s="28"/>
      <c r="R34" s="28"/>
      <c r="S34" s="28"/>
      <c r="T34" s="28"/>
      <c r="U34" s="28"/>
      <c r="V34" s="28"/>
      <c r="W34" s="28"/>
      <c r="X34" s="28"/>
      <c r="Y34" s="28"/>
      <c r="Z34" s="28"/>
      <c r="AA34" s="28"/>
      <c r="AB34" s="28"/>
    </row>
    <row r="35" spans="1:28" ht="15.75" customHeight="1" x14ac:dyDescent="0.15">
      <c r="A35" s="21" t="s">
        <v>963</v>
      </c>
      <c r="B35" s="22" t="s">
        <v>964</v>
      </c>
      <c r="C35" s="23" t="str">
        <f ca="1">IFERROR(__xludf.DUMMYFUNCTION("GOOGLETRANSLATE(B35, ""en"", ""fr"")"),"Prisonnier")</f>
        <v>Prisonnier</v>
      </c>
      <c r="D35" s="23" t="str">
        <f ca="1">IFERROR(__xludf.DUMMYFUNCTION("GOOGLETRANSLATE(B35, ""en"", ""es"")"),"Prisionero")</f>
        <v>Prisionero</v>
      </c>
      <c r="E35" s="23" t="str">
        <f ca="1">IFERROR(__xludf.DUMMYFUNCTION("GOOGLETRANSLATE(B35, ""en"", ""ru"")"),"Заключенный")</f>
        <v>Заключенный</v>
      </c>
      <c r="F35" s="23" t="str">
        <f ca="1">IFERROR(__xludf.DUMMYFUNCTION("GOOGLETRANSLATE(B35, ""en"", ""tr"")"),"Mahkum")</f>
        <v>Mahkum</v>
      </c>
      <c r="G35" s="23" t="str">
        <f ca="1">IFERROR(__xludf.DUMMYFUNCTION("GOOGLETRANSLATE(B35, ""en"", ""pt"")"),"Prisioneiro")</f>
        <v>Prisioneiro</v>
      </c>
      <c r="H35" s="24" t="str">
        <f ca="1">IFERROR(__xludf.DUMMYFUNCTION("GOOGLETRANSLATE(B35, ""en"", ""de"")"),"Häftling")</f>
        <v>Häftling</v>
      </c>
      <c r="I35" s="23" t="str">
        <f ca="1">IFERROR(__xludf.DUMMYFUNCTION("GOOGLETRANSLATE(B35, ""en"", ""pl"")"),"Więzień")</f>
        <v>Więzień</v>
      </c>
      <c r="J35" s="25" t="str">
        <f ca="1">IFERROR(__xludf.DUMMYFUNCTION("GOOGLETRANSLATE(B35, ""en"", ""zh"")"),"囚犯")</f>
        <v>囚犯</v>
      </c>
      <c r="K35" s="25" t="str">
        <f ca="1">IFERROR(__xludf.DUMMYFUNCTION("GOOGLETRANSLATE(B35, ""en"", ""vi"")"),"Tù nhân")</f>
        <v>Tù nhân</v>
      </c>
      <c r="L35" s="26" t="str">
        <f ca="1">IFERROR(__xludf.DUMMYFUNCTION("GOOGLETRANSLATE(B35, ""en"", ""hr"")"),"Zatvorenik")</f>
        <v>Zatvorenik</v>
      </c>
      <c r="M35" s="28"/>
      <c r="N35" s="28"/>
      <c r="O35" s="28"/>
      <c r="P35" s="28"/>
      <c r="Q35" s="28"/>
      <c r="R35" s="28"/>
      <c r="S35" s="28"/>
      <c r="T35" s="28"/>
      <c r="U35" s="28"/>
      <c r="V35" s="28"/>
      <c r="W35" s="28"/>
      <c r="X35" s="28"/>
      <c r="Y35" s="28"/>
      <c r="Z35" s="28"/>
      <c r="AA35" s="28"/>
      <c r="AB35" s="28"/>
    </row>
    <row r="36" spans="1:28" ht="15.75" customHeight="1" x14ac:dyDescent="0.15">
      <c r="A36" s="21" t="s">
        <v>965</v>
      </c>
      <c r="B36" s="22" t="s">
        <v>966</v>
      </c>
      <c r="C36" s="23" t="str">
        <f ca="1">IFERROR(__xludf.DUMMYFUNCTION("GOOGLETRANSLATE(B36, ""en"", ""fr"")"),"Rat")</f>
        <v>Rat</v>
      </c>
      <c r="D36" s="23" t="str">
        <f ca="1">IFERROR(__xludf.DUMMYFUNCTION("GOOGLETRANSLATE(B36, ""en"", ""es"")"),"Rata")</f>
        <v>Rata</v>
      </c>
      <c r="E36" s="23" t="str">
        <f ca="1">IFERROR(__xludf.DUMMYFUNCTION("GOOGLETRANSLATE(B36, ""en"", ""ru"")"),"Крыса")</f>
        <v>Крыса</v>
      </c>
      <c r="F36" s="23" t="str">
        <f ca="1">IFERROR(__xludf.DUMMYFUNCTION("GOOGLETRANSLATE(B36, ""en"", ""tr"")"),"Fare")</f>
        <v>Fare</v>
      </c>
      <c r="G36" s="23" t="str">
        <f ca="1">IFERROR(__xludf.DUMMYFUNCTION("GOOGLETRANSLATE(B36, ""en"", ""pt"")"),"Rato")</f>
        <v>Rato</v>
      </c>
      <c r="H36" s="24" t="str">
        <f ca="1">IFERROR(__xludf.DUMMYFUNCTION("GOOGLETRANSLATE(B36, ""en"", ""de"")"),"Ratte")</f>
        <v>Ratte</v>
      </c>
      <c r="I36" s="23" t="str">
        <f ca="1">IFERROR(__xludf.DUMMYFUNCTION("GOOGLETRANSLATE(B36, ""en"", ""pl"")"),"Szczur")</f>
        <v>Szczur</v>
      </c>
      <c r="J36" s="25" t="str">
        <f ca="1">IFERROR(__xludf.DUMMYFUNCTION("GOOGLETRANSLATE(B36, ""en"", ""zh"")"),"鼠")</f>
        <v>鼠</v>
      </c>
      <c r="K36" s="25" t="str">
        <f ca="1">IFERROR(__xludf.DUMMYFUNCTION("GOOGLETRANSLATE(B36, ""en"", ""vi"")"),"Con chuột")</f>
        <v>Con chuột</v>
      </c>
      <c r="L36" s="26" t="str">
        <f ca="1">IFERROR(__xludf.DUMMYFUNCTION("GOOGLETRANSLATE(B36, ""en"", ""hr"")"),"Štakor")</f>
        <v>Štakor</v>
      </c>
      <c r="M36" s="28"/>
      <c r="N36" s="28"/>
      <c r="O36" s="28"/>
      <c r="P36" s="28"/>
      <c r="Q36" s="28"/>
      <c r="R36" s="28"/>
      <c r="S36" s="28"/>
      <c r="T36" s="28"/>
      <c r="U36" s="28"/>
      <c r="V36" s="28"/>
      <c r="W36" s="28"/>
      <c r="X36" s="28"/>
      <c r="Y36" s="28"/>
      <c r="Z36" s="28"/>
      <c r="AA36" s="28"/>
      <c r="AB36" s="28"/>
    </row>
    <row r="37" spans="1:28" ht="15.75" customHeight="1" x14ac:dyDescent="0.15">
      <c r="A37" s="21" t="s">
        <v>967</v>
      </c>
      <c r="B37" s="22" t="s">
        <v>968</v>
      </c>
      <c r="C37" s="23" t="str">
        <f ca="1">IFERROR(__xludf.DUMMYFUNCTION("GOOGLETRANSLATE(B37, ""en"", ""fr"")"),"faucon")</f>
        <v>faucon</v>
      </c>
      <c r="D37" s="23" t="str">
        <f ca="1">IFERROR(__xludf.DUMMYFUNCTION("GOOGLETRANSLATE(B37, ""en"", ""es"")"),"Halcón")</f>
        <v>Halcón</v>
      </c>
      <c r="E37" s="23" t="str">
        <f ca="1">IFERROR(__xludf.DUMMYFUNCTION("GOOGLETRANSLATE(B37, ""en"", ""ru"")"),"ястреб")</f>
        <v>ястреб</v>
      </c>
      <c r="F37" s="23" t="str">
        <f ca="1">IFERROR(__xludf.DUMMYFUNCTION("GOOGLETRANSLATE(B37, ""en"", ""tr"")"),"Şahin")</f>
        <v>Şahin</v>
      </c>
      <c r="G37" s="23" t="str">
        <f ca="1">IFERROR(__xludf.DUMMYFUNCTION("GOOGLETRANSLATE(B37, ""en"", ""pt"")"),"Falcão")</f>
        <v>Falcão</v>
      </c>
      <c r="H37" s="24" t="str">
        <f ca="1">IFERROR(__xludf.DUMMYFUNCTION("GOOGLETRANSLATE(B37, ""en"", ""de"")"),"Falke")</f>
        <v>Falke</v>
      </c>
      <c r="I37" s="23" t="str">
        <f ca="1">IFERROR(__xludf.DUMMYFUNCTION("GOOGLETRANSLATE(B37, ""en"", ""pl"")"),"Jastrząb")</f>
        <v>Jastrząb</v>
      </c>
      <c r="J37" s="25" t="str">
        <f ca="1">IFERROR(__xludf.DUMMYFUNCTION("GOOGLETRANSLATE(B37, ""en"", ""zh"")"),"鹰")</f>
        <v>鹰</v>
      </c>
      <c r="K37" s="25" t="str">
        <f ca="1">IFERROR(__xludf.DUMMYFUNCTION("GOOGLETRANSLATE(B37, ""en"", ""vi"")"),"chim ưng")</f>
        <v>chim ưng</v>
      </c>
      <c r="L37" s="26" t="str">
        <f ca="1">IFERROR(__xludf.DUMMYFUNCTION("GOOGLETRANSLATE(B37, ""en"", ""hr"")"),"Sokol")</f>
        <v>Sokol</v>
      </c>
      <c r="M37" s="28"/>
      <c r="N37" s="28"/>
      <c r="O37" s="28"/>
      <c r="P37" s="28"/>
      <c r="Q37" s="28"/>
      <c r="R37" s="28"/>
      <c r="S37" s="28"/>
      <c r="T37" s="28"/>
      <c r="U37" s="28"/>
      <c r="V37" s="28"/>
      <c r="W37" s="28"/>
      <c r="X37" s="28"/>
      <c r="Y37" s="28"/>
      <c r="Z37" s="28"/>
      <c r="AA37" s="28"/>
      <c r="AB37" s="28"/>
    </row>
    <row r="38" spans="1:28" ht="15.75" customHeight="1" x14ac:dyDescent="0.15">
      <c r="A38" s="21" t="s">
        <v>969</v>
      </c>
      <c r="B38" s="22" t="s">
        <v>970</v>
      </c>
      <c r="C38" s="23" t="str">
        <f ca="1">IFERROR(__xludf.DUMMYFUNCTION("GOOGLETRANSLATE(B38, ""en"", ""fr"")"),"Sable")</f>
        <v>Sable</v>
      </c>
      <c r="D38" s="23" t="str">
        <f ca="1">IFERROR(__xludf.DUMMYFUNCTION("GOOGLETRANSLATE(B38, ""en"", ""es"")"),"Escampada de arena")</f>
        <v>Escampada de arena</v>
      </c>
      <c r="E38" s="23" t="str">
        <f ca="1">IFERROR(__xludf.DUMMYFUNCTION("GOOGLETRANSLATE(B38, ""en"", ""ru"")"),"Песочная бочка")</f>
        <v>Песочная бочка</v>
      </c>
      <c r="F38" s="23" t="str">
        <f ca="1">IFERROR(__xludf.DUMMYFUNCTION("GOOGLETRANSLATE(B38, ""en"", ""tr"")"),"Kum kaşığı")</f>
        <v>Kum kaşığı</v>
      </c>
      <c r="G38" s="23" t="str">
        <f ca="1">IFERROR(__xludf.DUMMYFUNCTION("GOOGLETRANSLATE(B38, ""en"", ""pt"")"),"Scamp de areia")</f>
        <v>Scamp de areia</v>
      </c>
      <c r="H38" s="24" t="str">
        <f ca="1">IFERROR(__xludf.DUMMYFUNCTION("GOOGLETRANSLATE(B38, ""en"", ""de"")"),"Sand Scamp.")</f>
        <v>Sand Scamp.</v>
      </c>
      <c r="I38" s="23" t="str">
        <f ca="1">IFERROR(__xludf.DUMMYFUNCTION("GOOGLETRANSLATE(B38, ""en"", ""pl"")"),"Scamp")</f>
        <v>Scamp</v>
      </c>
      <c r="J38" s="25" t="str">
        <f ca="1">IFERROR(__xludf.DUMMYFUNCTION("GOOGLETRANSLATE(B38, ""en"", ""zh"")"),"沙静物")</f>
        <v>沙静物</v>
      </c>
      <c r="K38" s="25" t="str">
        <f ca="1">IFERROR(__xludf.DUMMYFUNCTION("GOOGLETRANSLATE(B38, ""en"", ""vi"")"),"Sand Scamp.")</f>
        <v>Sand Scamp.</v>
      </c>
      <c r="L38" s="26" t="str">
        <f ca="1">IFERROR(__xludf.DUMMYFUNCTION("GOOGLETRANSLATE(B38, ""en"", ""hr"")"),"Pijesak")</f>
        <v>Pijesak</v>
      </c>
      <c r="M38" s="28"/>
      <c r="N38" s="28"/>
      <c r="O38" s="28"/>
      <c r="P38" s="28"/>
      <c r="Q38" s="28"/>
      <c r="R38" s="28"/>
      <c r="S38" s="28"/>
      <c r="T38" s="28"/>
      <c r="U38" s="28"/>
      <c r="V38" s="28"/>
      <c r="W38" s="28"/>
      <c r="X38" s="28"/>
      <c r="Y38" s="28"/>
      <c r="Z38" s="28"/>
      <c r="AA38" s="28"/>
      <c r="AB38" s="28"/>
    </row>
    <row r="39" spans="1:28" ht="15.75" customHeight="1" x14ac:dyDescent="0.15">
      <c r="A39" s="21" t="s">
        <v>971</v>
      </c>
      <c r="B39" s="22" t="s">
        <v>972</v>
      </c>
      <c r="C39" s="23" t="str">
        <f ca="1">IFERROR(__xludf.DUMMYFUNCTION("GOOGLETRANSLATE(B39, ""en"", ""fr"")"),"Grimace")</f>
        <v>Grimace</v>
      </c>
      <c r="D39" s="23" t="str">
        <f ca="1">IFERROR(__xludf.DUMMYFUNCTION("GOOGLETRANSLATE(B39, ""en"", ""es"")"),"Pipa de hierba")</f>
        <v>Pipa de hierba</v>
      </c>
      <c r="E39" s="23" t="str">
        <f ca="1">IFERROR(__xludf.DUMMYFUNCTION("GOOGLETRANSLATE(B39, ""en"", ""ru"")"),"Груз травы")</f>
        <v>Груз травы</v>
      </c>
      <c r="F39" s="23" t="str">
        <f ca="1">IFERROR(__xludf.DUMMYFUNCTION("GOOGLETRANSLATE(B39, ""en"", ""tr"")"),"Çalar scamp")</f>
        <v>Çalar scamp</v>
      </c>
      <c r="G39" s="23" t="str">
        <f ca="1">IFERROR(__xludf.DUMMYFUNCTION("GOOGLETRANSLATE(B39, ""en"", ""pt"")"),"Grama scamp.")</f>
        <v>Grama scamp.</v>
      </c>
      <c r="H39" s="24" t="str">
        <f ca="1">IFERROR(__xludf.DUMMYFUNCTION("GOOGLETRANSLATE(B39, ""en"", ""de"")"),"Gras Scamp.")</f>
        <v>Gras Scamp.</v>
      </c>
      <c r="I39" s="23" t="str">
        <f ca="1">IFERROR(__xludf.DUMMYFUNCTION("GOOGLETRANSLATE(B39, ""en"", ""pl"")"),"Scamp Grass.")</f>
        <v>Scamp Grass.</v>
      </c>
      <c r="J39" s="25" t="str">
        <f ca="1">IFERROR(__xludf.DUMMYFUNCTION("GOOGLETRANSLATE(B39, ""en"", ""zh"")"),"草泊水")</f>
        <v>草泊水</v>
      </c>
      <c r="K39" s="25" t="str">
        <f ca="1">IFERROR(__xludf.DUMMYFUNCTION("GOOGLETRANSLATE(B39, ""en"", ""vi"")"),"Cỏ scamp.")</f>
        <v>Cỏ scamp.</v>
      </c>
      <c r="L39" s="26" t="str">
        <f ca="1">IFERROR(__xludf.DUMMYFUNCTION("GOOGLETRANSLATE(B39, ""en"", ""hr"")"),"Trava")</f>
        <v>Trava</v>
      </c>
      <c r="M39" s="28"/>
      <c r="N39" s="28"/>
      <c r="O39" s="28"/>
      <c r="P39" s="28"/>
      <c r="Q39" s="28"/>
      <c r="R39" s="28"/>
      <c r="S39" s="28"/>
      <c r="T39" s="28"/>
      <c r="U39" s="28"/>
      <c r="V39" s="28"/>
      <c r="W39" s="28"/>
      <c r="X39" s="28"/>
      <c r="Y39" s="28"/>
      <c r="Z39" s="28"/>
      <c r="AA39" s="28"/>
      <c r="AB39" s="28"/>
    </row>
    <row r="40" spans="1:28" ht="15.75" customHeight="1" x14ac:dyDescent="0.15">
      <c r="A40" s="21" t="s">
        <v>973</v>
      </c>
      <c r="B40" s="22" t="s">
        <v>974</v>
      </c>
      <c r="C40" s="23" t="str">
        <f ca="1">IFERROR(__xludf.DUMMYFUNCTION("GOOGLETRANSLATE(B40, ""en"", ""fr"")"),"Scamp de neige")</f>
        <v>Scamp de neige</v>
      </c>
      <c r="D40" s="23" t="str">
        <f ca="1">IFERROR(__xludf.DUMMYFUNCTION("GOOGLETRANSLATE(B40, ""en"", ""es"")"),"Shap scamp")</f>
        <v>Shap scamp</v>
      </c>
      <c r="E40" s="23" t="str">
        <f ca="1">IFERROR(__xludf.DUMMYFUNCTION("GOOGLETRANSLATE(B40, ""en"", ""ru"")"),"Снег Бит")</f>
        <v>Снег Бит</v>
      </c>
      <c r="F40" s="23" t="str">
        <f ca="1">IFERROR(__xludf.DUMMYFUNCTION("GOOGLETRANSLATE(B40, ""en"", ""tr"")"),"Karbaşası")</f>
        <v>Karbaşası</v>
      </c>
      <c r="G40" s="23" t="str">
        <f ca="1">IFERROR(__xludf.DUMMYFUNCTION("GOOGLETRANSLATE(B40, ""en"", ""pt"")"),"Scamp de neve")</f>
        <v>Scamp de neve</v>
      </c>
      <c r="H40" s="24" t="str">
        <f ca="1">IFERROR(__xludf.DUMMYFUNCTION("GOOGLETRANSLATE(B40, ""en"", ""de"")"),"Snow Scamp.")</f>
        <v>Snow Scamp.</v>
      </c>
      <c r="I40" s="23" t="str">
        <f ca="1">IFERROR(__xludf.DUMMYFUNCTION("GOOGLETRANSLATE(B40, ""en"", ""pl"")"),"Snow Scamp.")</f>
        <v>Snow Scamp.</v>
      </c>
      <c r="J40" s="25" t="str">
        <f ca="1">IFERROR(__xludf.DUMMYFUNCTION("GOOGLETRANSLATE(B40, ""en"", ""zh"")"),"雪静水")</f>
        <v>雪静水</v>
      </c>
      <c r="K40" s="25" t="str">
        <f ca="1">IFERROR(__xludf.DUMMYFUNCTION("GOOGLETRANSLATE(B40, ""en"", ""vi"")"),"Snow Scamp.")</f>
        <v>Snow Scamp.</v>
      </c>
      <c r="L40" s="26" t="str">
        <f ca="1">IFERROR(__xludf.DUMMYFUNCTION("GOOGLETRANSLATE(B40, ""en"", ""hr"")"),"Snijeg")</f>
        <v>Snijeg</v>
      </c>
      <c r="M40" s="28"/>
      <c r="N40" s="28"/>
      <c r="O40" s="28"/>
      <c r="P40" s="28"/>
      <c r="Q40" s="28"/>
      <c r="R40" s="28"/>
      <c r="S40" s="28"/>
      <c r="T40" s="28"/>
      <c r="U40" s="28"/>
      <c r="V40" s="28"/>
      <c r="W40" s="28"/>
      <c r="X40" s="28"/>
      <c r="Y40" s="28"/>
      <c r="Z40" s="28"/>
      <c r="AA40" s="28"/>
      <c r="AB40" s="28"/>
    </row>
    <row r="41" spans="1:28" ht="15.75" customHeight="1" x14ac:dyDescent="0.15">
      <c r="A41" s="21" t="s">
        <v>975</v>
      </c>
      <c r="B41" s="22" t="s">
        <v>976</v>
      </c>
      <c r="C41" s="23" t="str">
        <f ca="1">IFERROR(__xludf.DUMMYFUNCTION("GOOGLETRANSLATE(B41, ""en"", ""fr"")"),"Lutin")</f>
        <v>Lutin</v>
      </c>
      <c r="D41" s="23" t="str">
        <f ca="1">IFERROR(__xludf.DUMMYFUNCTION("GOOGLETRANSLATE(B41, ""en"", ""es"")"),"Duende")</f>
        <v>Duende</v>
      </c>
      <c r="E41" s="23" t="str">
        <f ca="1">IFERROR(__xludf.DUMMYFUNCTION("GOOGLETRANSLATE(B41, ""en"", ""ru"")"),"Гоблин")</f>
        <v>Гоблин</v>
      </c>
      <c r="F41" s="23" t="str">
        <f ca="1">IFERROR(__xludf.DUMMYFUNCTION("GOOGLETRANSLATE(B41, ""en"", ""tr"")"),"Goblin")</f>
        <v>Goblin</v>
      </c>
      <c r="G41" s="23" t="str">
        <f ca="1">IFERROR(__xludf.DUMMYFUNCTION("GOOGLETRANSLATE(B41, ""en"", ""pt"")"),"Goblin.")</f>
        <v>Goblin.</v>
      </c>
      <c r="H41" s="24" t="str">
        <f ca="1">IFERROR(__xludf.DUMMYFUNCTION("GOOGLETRANSLATE(B41, ""en"", ""de"")"),"Kobold")</f>
        <v>Kobold</v>
      </c>
      <c r="I41" s="23" t="str">
        <f ca="1">IFERROR(__xludf.DUMMYFUNCTION("GOOGLETRANSLATE(B41, ""en"", ""pl"")"),"Chochlik")</f>
        <v>Chochlik</v>
      </c>
      <c r="J41" s="25" t="str">
        <f ca="1">IFERROR(__xludf.DUMMYFUNCTION("GOOGLETRANSLATE(B41, ""en"", ""zh"")"),"妖精")</f>
        <v>妖精</v>
      </c>
      <c r="K41" s="25" t="str">
        <f ca="1">IFERROR(__xludf.DUMMYFUNCTION("GOOGLETRANSLATE(B41, ""en"", ""vi"")"),"Yêu tinh")</f>
        <v>Yêu tinh</v>
      </c>
      <c r="L41" s="26" t="str">
        <f ca="1">IFERROR(__xludf.DUMMYFUNCTION("GOOGLETRANSLATE(B41, ""en"", ""hr"")"),"Zao")</f>
        <v>Zao</v>
      </c>
      <c r="M41" s="28"/>
      <c r="N41" s="28"/>
      <c r="O41" s="28"/>
      <c r="P41" s="28"/>
      <c r="Q41" s="28"/>
      <c r="R41" s="28"/>
      <c r="S41" s="28"/>
      <c r="T41" s="28"/>
      <c r="U41" s="28"/>
      <c r="V41" s="28"/>
      <c r="W41" s="28"/>
      <c r="X41" s="28"/>
      <c r="Y41" s="28"/>
      <c r="Z41" s="28"/>
      <c r="AA41" s="28"/>
      <c r="AB41" s="28"/>
    </row>
    <row r="42" spans="1:28" ht="15.75" customHeight="1" x14ac:dyDescent="0.15">
      <c r="A42" s="21" t="s">
        <v>977</v>
      </c>
      <c r="B42" s="22" t="s">
        <v>978</v>
      </c>
      <c r="C42" s="23" t="str">
        <f ca="1">IFERROR(__xludf.DUMMYFUNCTION("GOOGLETRANSLATE(B42, ""en"", ""fr"")"),"Druide")</f>
        <v>Druide</v>
      </c>
      <c r="D42" s="23" t="str">
        <f ca="1">IFERROR(__xludf.DUMMYFUNCTION("GOOGLETRANSLATE(B42, ""en"", ""es"")"),"druida")</f>
        <v>druida</v>
      </c>
      <c r="E42" s="23" t="str">
        <f ca="1">IFERROR(__xludf.DUMMYFUNCTION("GOOGLETRANSLATE(B42, ""en"", ""ru"")"),"Друид")</f>
        <v>Друид</v>
      </c>
      <c r="F42" s="23" t="str">
        <f ca="1">IFERROR(__xludf.DUMMYFUNCTION("GOOGLETRANSLATE(B42, ""en"", ""tr"")"),"Druid")</f>
        <v>Druid</v>
      </c>
      <c r="G42" s="23" t="str">
        <f ca="1">IFERROR(__xludf.DUMMYFUNCTION("GOOGLETRANSLATE(B42, ""en"", ""pt"")"),"druida")</f>
        <v>druida</v>
      </c>
      <c r="H42" s="24" t="str">
        <f ca="1">IFERROR(__xludf.DUMMYFUNCTION("GOOGLETRANSLATE(B42, ""en"", ""de"")"),"Druide")</f>
        <v>Druide</v>
      </c>
      <c r="I42" s="23" t="str">
        <f ca="1">IFERROR(__xludf.DUMMYFUNCTION("GOOGLETRANSLATE(B42, ""en"", ""pl"")"),"druid")</f>
        <v>druid</v>
      </c>
      <c r="J42" s="25" t="str">
        <f ca="1">IFERROR(__xludf.DUMMYFUNCTION("GOOGLETRANSLATE(B42, ""en"", ""zh"")"),"德鲁伊")</f>
        <v>德鲁伊</v>
      </c>
      <c r="K42" s="25" t="str">
        <f ca="1">IFERROR(__xludf.DUMMYFUNCTION("GOOGLETRANSLATE(B42, ""en"", ""vi"")"),"Druid.")</f>
        <v>Druid.</v>
      </c>
      <c r="L42" s="26" t="str">
        <f ca="1">IFERROR(__xludf.DUMMYFUNCTION("GOOGLETRANSLATE(B42, ""en"", ""hr"")"),"druid")</f>
        <v>druid</v>
      </c>
      <c r="M42" s="28"/>
      <c r="N42" s="28"/>
      <c r="O42" s="28"/>
      <c r="P42" s="28"/>
      <c r="Q42" s="28"/>
      <c r="R42" s="28"/>
      <c r="S42" s="28"/>
      <c r="T42" s="28"/>
      <c r="U42" s="28"/>
      <c r="V42" s="28"/>
      <c r="W42" s="28"/>
      <c r="X42" s="28"/>
      <c r="Y42" s="28"/>
      <c r="Z42" s="28"/>
      <c r="AA42" s="28"/>
      <c r="AB42" s="28"/>
    </row>
    <row r="43" spans="1:28" ht="15.75" customHeight="1" x14ac:dyDescent="0.15">
      <c r="A43" s="21" t="s">
        <v>979</v>
      </c>
      <c r="B43" s="22" t="s">
        <v>980</v>
      </c>
      <c r="C43" s="23" t="str">
        <f ca="1">IFERROR(__xludf.DUMMYFUNCTION("GOOGLETRANSLATE(B43, ""en"", ""fr"")"),"Aîné")</f>
        <v>Aîné</v>
      </c>
      <c r="D43" s="23" t="str">
        <f ca="1">IFERROR(__xludf.DUMMYFUNCTION("GOOGLETRANSLATE(B43, ""en"", ""es"")"),"Mayor")</f>
        <v>Mayor</v>
      </c>
      <c r="E43" s="23" t="str">
        <f ca="1">IFERROR(__xludf.DUMMYFUNCTION("GOOGLETRANSLATE(B43, ""en"", ""ru"")"),"Старейшина")</f>
        <v>Старейшина</v>
      </c>
      <c r="F43" s="23" t="str">
        <f ca="1">IFERROR(__xludf.DUMMYFUNCTION("GOOGLETRANSLATE(B43, ""en"", ""tr"")"),"Yaşlı")</f>
        <v>Yaşlı</v>
      </c>
      <c r="G43" s="23" t="str">
        <f ca="1">IFERROR(__xludf.DUMMYFUNCTION("GOOGLETRANSLATE(B43, ""en"", ""pt"")"),"Mais velho")</f>
        <v>Mais velho</v>
      </c>
      <c r="H43" s="24" t="str">
        <f ca="1">IFERROR(__xludf.DUMMYFUNCTION("GOOGLETRANSLATE(B43, ""en"", ""de"")"),"Ältere")</f>
        <v>Ältere</v>
      </c>
      <c r="I43" s="23" t="str">
        <f ca="1">IFERROR(__xludf.DUMMYFUNCTION("GOOGLETRANSLATE(B43, ""en"", ""pl"")"),"Starszy")</f>
        <v>Starszy</v>
      </c>
      <c r="J43" s="25" t="str">
        <f ca="1">IFERROR(__xludf.DUMMYFUNCTION("GOOGLETRANSLATE(B43, ""en"", ""zh"")"),"长老")</f>
        <v>长老</v>
      </c>
      <c r="K43" s="25" t="str">
        <f ca="1">IFERROR(__xludf.DUMMYFUNCTION("GOOGLETRANSLATE(B43, ""en"", ""vi"")"),"Đàn anh")</f>
        <v>Đàn anh</v>
      </c>
      <c r="L43" s="26" t="str">
        <f ca="1">IFERROR(__xludf.DUMMYFUNCTION("GOOGLETRANSLATE(B43, ""en"", ""hr"")"),"Stariji")</f>
        <v>Stariji</v>
      </c>
      <c r="M43" s="28"/>
      <c r="N43" s="28"/>
      <c r="O43" s="28"/>
      <c r="P43" s="28"/>
      <c r="Q43" s="28"/>
      <c r="R43" s="28"/>
      <c r="S43" s="28"/>
      <c r="T43" s="28"/>
      <c r="U43" s="28"/>
      <c r="V43" s="28"/>
      <c r="W43" s="28"/>
      <c r="X43" s="28"/>
      <c r="Y43" s="28"/>
      <c r="Z43" s="28"/>
      <c r="AA43" s="28"/>
      <c r="AB43" s="28"/>
    </row>
    <row r="44" spans="1:28" ht="15.75" customHeight="1" x14ac:dyDescent="0.15">
      <c r="A44" s="21" t="s">
        <v>981</v>
      </c>
      <c r="B44" s="22" t="s">
        <v>982</v>
      </c>
      <c r="C44" s="23" t="str">
        <f ca="1">IFERROR(__xludf.DUMMYFUNCTION("GOOGLETRANSLATE(B44, ""en"", ""fr"")"),"Snoovir")</f>
        <v>Snoovir</v>
      </c>
      <c r="D44" s="23" t="str">
        <f ca="1">IFERROR(__xludf.DUMMYFUNCTION("GOOGLETRANSLATE(B44, ""en"", ""es"")"),"Snovir")</f>
        <v>Snovir</v>
      </c>
      <c r="E44" s="23" t="str">
        <f ca="1">IFERROR(__xludf.DUMMYFUNCTION("GOOGLETRANSLATE(B44, ""en"", ""ru"")"),"Сновир")</f>
        <v>Сновир</v>
      </c>
      <c r="F44" s="23" t="str">
        <f ca="1">IFERROR(__xludf.DUMMYFUNCTION("GOOGLETRANSLATE(B44, ""en"", ""tr"")"),"Snoovir")</f>
        <v>Snoovir</v>
      </c>
      <c r="G44" s="23" t="str">
        <f ca="1">IFERROR(__xludf.DUMMYFUNCTION("GOOGLETRANSLATE(B44, ""en"", ""pt"")"),"Snoovir.")</f>
        <v>Snoovir.</v>
      </c>
      <c r="H44" s="24" t="str">
        <f ca="1">IFERROR(__xludf.DUMMYFUNCTION("GOOGLETRANSLATE(B44, ""en"", ""de"")"),"Snoovir")</f>
        <v>Snoovir</v>
      </c>
      <c r="I44" s="23" t="str">
        <f ca="1">IFERROR(__xludf.DUMMYFUNCTION("GOOGLETRANSLATE(B44, ""en"", ""pl"")"),"Snoowir.")</f>
        <v>Snoowir.</v>
      </c>
      <c r="J44" s="25" t="str">
        <f ca="1">IFERROR(__xludf.DUMMYFUNCTION("GOOGLETRANSLATE(B44, ""en"", ""zh"")"),"Snoovir.")</f>
        <v>Snoovir.</v>
      </c>
      <c r="K44" s="25" t="str">
        <f ca="1">IFERROR(__xludf.DUMMYFUNCTION("GOOGLETRANSLATE(B44, ""en"", ""vi"")"),"Snoovir.")</f>
        <v>Snoovir.</v>
      </c>
      <c r="L44" s="26" t="str">
        <f ca="1">IFERROR(__xludf.DUMMYFUNCTION("GOOGLETRANSLATE(B44, ""en"", ""hr"")"),"Snoovir")</f>
        <v>Snoovir</v>
      </c>
      <c r="M44" s="28"/>
      <c r="N44" s="28"/>
      <c r="O44" s="28"/>
      <c r="P44" s="28"/>
      <c r="Q44" s="28"/>
      <c r="R44" s="28"/>
      <c r="S44" s="28"/>
      <c r="T44" s="28"/>
      <c r="U44" s="28"/>
      <c r="V44" s="28"/>
      <c r="W44" s="28"/>
      <c r="X44" s="28"/>
      <c r="Y44" s="28"/>
      <c r="Z44" s="28"/>
      <c r="AA44" s="28"/>
      <c r="AB44" s="28"/>
    </row>
    <row r="45" spans="1:28" ht="15.75" customHeight="1" x14ac:dyDescent="0.15">
      <c r="A45" s="21" t="s">
        <v>983</v>
      </c>
      <c r="B45" s="22" t="s">
        <v>984</v>
      </c>
      <c r="C45" s="23" t="str">
        <f ca="1">IFERROR(__xludf.DUMMYFUNCTION("GOOGLETRANSLATE(B45, ""en"", ""fr"")"),"Zombi")</f>
        <v>Zombi</v>
      </c>
      <c r="D45" s="23" t="str">
        <f ca="1">IFERROR(__xludf.DUMMYFUNCTION("GOOGLETRANSLATE(B45, ""en"", ""es"")"),"Zombi")</f>
        <v>Zombi</v>
      </c>
      <c r="E45" s="23" t="str">
        <f ca="1">IFERROR(__xludf.DUMMYFUNCTION("GOOGLETRANSLATE(B45, ""en"", ""ru"")"),"Живой мертвец")</f>
        <v>Живой мертвец</v>
      </c>
      <c r="F45" s="23" t="str">
        <f ca="1">IFERROR(__xludf.DUMMYFUNCTION("GOOGLETRANSLATE(B45, ""en"", ""tr"")"),"Zombi")</f>
        <v>Zombi</v>
      </c>
      <c r="G45" s="23" t="str">
        <f ca="1">IFERROR(__xludf.DUMMYFUNCTION("GOOGLETRANSLATE(B45, ""en"", ""pt"")"),"Zumbi.")</f>
        <v>Zumbi.</v>
      </c>
      <c r="H45" s="24" t="str">
        <f ca="1">IFERROR(__xludf.DUMMYFUNCTION("GOOGLETRANSLATE(B45, ""en"", ""de"")"),"Zombie")</f>
        <v>Zombie</v>
      </c>
      <c r="I45" s="23" t="str">
        <f ca="1">IFERROR(__xludf.DUMMYFUNCTION("GOOGLETRANSLATE(B45, ""en"", ""pl"")"),"Zambi")</f>
        <v>Zambi</v>
      </c>
      <c r="J45" s="25" t="str">
        <f ca="1">IFERROR(__xludf.DUMMYFUNCTION("GOOGLETRANSLATE(B45, ""en"", ""zh"")"),"僵尸")</f>
        <v>僵尸</v>
      </c>
      <c r="K45" s="25" t="str">
        <f ca="1">IFERROR(__xludf.DUMMYFUNCTION("GOOGLETRANSLATE(B45, ""en"", ""vi"")"),"Thây ma")</f>
        <v>Thây ma</v>
      </c>
      <c r="L45" s="26" t="str">
        <f ca="1">IFERROR(__xludf.DUMMYFUNCTION("GOOGLETRANSLATE(B45, ""en"", ""hr"")"),"Zombi")</f>
        <v>Zombi</v>
      </c>
      <c r="M45" s="28"/>
      <c r="N45" s="28"/>
      <c r="O45" s="28"/>
      <c r="P45" s="28"/>
      <c r="Q45" s="28"/>
      <c r="R45" s="28"/>
      <c r="S45" s="28"/>
      <c r="T45" s="28"/>
      <c r="U45" s="28"/>
      <c r="V45" s="28"/>
      <c r="W45" s="28"/>
      <c r="X45" s="28"/>
      <c r="Y45" s="28"/>
      <c r="Z45" s="28"/>
      <c r="AA45" s="28"/>
      <c r="AB45" s="28"/>
    </row>
    <row r="46" spans="1:28" ht="15.75" customHeight="1" x14ac:dyDescent="0.15">
      <c r="A46" s="21" t="s">
        <v>985</v>
      </c>
      <c r="B46" s="22" t="s">
        <v>986</v>
      </c>
      <c r="C46" s="23" t="str">
        <f ca="1">IFERROR(__xludf.DUMMYFUNCTION("GOOGLETRANSLATE(B46, ""en"", ""fr"")"),"Momie")</f>
        <v>Momie</v>
      </c>
      <c r="D46" s="23" t="str">
        <f ca="1">IFERROR(__xludf.DUMMYFUNCTION("GOOGLETRANSLATE(B46, ""en"", ""es"")"),"Momia")</f>
        <v>Momia</v>
      </c>
      <c r="E46" s="23" t="s">
        <v>987</v>
      </c>
      <c r="F46" s="23" t="str">
        <f ca="1">IFERROR(__xludf.DUMMYFUNCTION("GOOGLETRANSLATE(B46, ""en"", ""tr"")"),"Mumya")</f>
        <v>Mumya</v>
      </c>
      <c r="G46" s="23" t="str">
        <f ca="1">IFERROR(__xludf.DUMMYFUNCTION("GOOGLETRANSLATE(B46, ""en"", ""pt"")"),"Mamãe")</f>
        <v>Mamãe</v>
      </c>
      <c r="H46" s="24" t="str">
        <f ca="1">IFERROR(__xludf.DUMMYFUNCTION("GOOGLETRANSLATE(B46, ""en"", ""de"")"),"Mumie")</f>
        <v>Mumie</v>
      </c>
      <c r="I46" s="23" t="str">
        <f ca="1">IFERROR(__xludf.DUMMYFUNCTION("GOOGLETRANSLATE(B46, ""en"", ""pl"")"),"Mumia")</f>
        <v>Mumia</v>
      </c>
      <c r="J46" s="25" t="str">
        <f ca="1">IFERROR(__xludf.DUMMYFUNCTION("GOOGLETRANSLATE(B46, ""en"", ""zh"")"),"木乃伊")</f>
        <v>木乃伊</v>
      </c>
      <c r="K46" s="25" t="str">
        <f ca="1">IFERROR(__xludf.DUMMYFUNCTION("GOOGLETRANSLATE(B46, ""en"", ""vi"")"),"Xác ướp")</f>
        <v>Xác ướp</v>
      </c>
      <c r="L46" s="26" t="str">
        <f ca="1">IFERROR(__xludf.DUMMYFUNCTION("GOOGLETRANSLATE(B46, ""en"", ""hr"")"),"Mumija")</f>
        <v>Mumija</v>
      </c>
      <c r="M46" s="28"/>
      <c r="N46" s="28"/>
      <c r="O46" s="28"/>
      <c r="P46" s="28"/>
      <c r="Q46" s="28"/>
      <c r="R46" s="28"/>
      <c r="S46" s="28"/>
      <c r="T46" s="28"/>
      <c r="U46" s="28"/>
      <c r="V46" s="28"/>
      <c r="W46" s="28"/>
      <c r="X46" s="28"/>
      <c r="Y46" s="28"/>
      <c r="Z46" s="28"/>
      <c r="AA46" s="28"/>
      <c r="AB46" s="28"/>
    </row>
    <row r="47" spans="1:28" ht="15.75" customHeight="1" x14ac:dyDescent="0.15">
      <c r="A47" s="21" t="s">
        <v>988</v>
      </c>
      <c r="B47" s="22" t="s">
        <v>989</v>
      </c>
      <c r="C47" s="23" t="str">
        <f ca="1">IFERROR(__xludf.DUMMYFUNCTION("GOOGLETRANSLATE(B47, ""en"", ""fr"")"),"Gardien de crypte")</f>
        <v>Gardien de crypte</v>
      </c>
      <c r="D47" s="23" t="str">
        <f ca="1">IFERROR(__xludf.DUMMYFUNCTION("GOOGLETRANSLATE(B47, ""en"", ""es"")"),"Cripto")</f>
        <v>Cripto</v>
      </c>
      <c r="E47" s="23" t="str">
        <f ca="1">IFERROR(__xludf.DUMMYFUNCTION("GOOGLETRANSLATE(B47, ""en"", ""ru"")"),"Крипта")</f>
        <v>Крипта</v>
      </c>
      <c r="F47" s="23" t="str">
        <f ca="1">IFERROR(__xludf.DUMMYFUNCTION("GOOGLETRANSLATE(B47, ""en"", ""tr"")"),"Crypt bakan")</f>
        <v>Crypt bakan</v>
      </c>
      <c r="G47" s="23" t="str">
        <f ca="1">IFERROR(__xludf.DUMMYFUNCTION("GOOGLETRANSLATE(B47, ""en"", ""pt"")"),"Warden da cripta")</f>
        <v>Warden da cripta</v>
      </c>
      <c r="H47" s="24" t="str">
        <f ca="1">IFERROR(__xludf.DUMMYFUNCTION("GOOGLETRANSLATE(B47, ""en"", ""de"")"),"Kryptonder")</f>
        <v>Kryptonder</v>
      </c>
      <c r="I47" s="23" t="str">
        <f ca="1">IFERROR(__xludf.DUMMYFUNCTION("GOOGLETRANSLATE(B47, ""en"", ""pl"")"),"Crypt Warden.")</f>
        <v>Crypt Warden.</v>
      </c>
      <c r="J47" s="25" t="str">
        <f ca="1">IFERROR(__xludf.DUMMYFUNCTION("GOOGLETRANSLATE(B47, ""en"", ""zh"")"),"Crypt Warden.")</f>
        <v>Crypt Warden.</v>
      </c>
      <c r="K47" s="25" t="str">
        <f ca="1">IFERROR(__xludf.DUMMYFUNCTION("GOOGLETRANSLATE(B47, ""en"", ""vi"")"),"Crypt Warden.")</f>
        <v>Crypt Warden.</v>
      </c>
      <c r="L47" s="26" t="str">
        <f ca="1">IFERROR(__xludf.DUMMYFUNCTION("GOOGLETRANSLATE(B47, ""en"", ""hr"")"),"Čuvar kripti")</f>
        <v>Čuvar kripti</v>
      </c>
      <c r="M47" s="28"/>
      <c r="N47" s="28"/>
      <c r="O47" s="28"/>
      <c r="P47" s="28"/>
      <c r="Q47" s="28"/>
      <c r="R47" s="28"/>
      <c r="S47" s="28"/>
      <c r="T47" s="28"/>
      <c r="U47" s="28"/>
      <c r="V47" s="28"/>
      <c r="W47" s="28"/>
      <c r="X47" s="28"/>
      <c r="Y47" s="28"/>
      <c r="Z47" s="28"/>
      <c r="AA47" s="28"/>
      <c r="AB47" s="28"/>
    </row>
    <row r="48" spans="1:28" ht="15.75" customHeight="1" x14ac:dyDescent="0.15">
      <c r="A48" s="21" t="s">
        <v>990</v>
      </c>
      <c r="B48" s="22" t="s">
        <v>991</v>
      </c>
      <c r="C48" s="23" t="str">
        <f ca="1">IFERROR(__xludf.DUMMYFUNCTION("GOOGLETRANSLATE(B48, ""en"", ""fr"")"),"pharaon")</f>
        <v>pharaon</v>
      </c>
      <c r="D48" s="23" t="str">
        <f ca="1">IFERROR(__xludf.DUMMYFUNCTION("GOOGLETRANSLATE(B48, ""en"", ""es"")"),"faraón")</f>
        <v>faraón</v>
      </c>
      <c r="E48" s="23" t="s">
        <v>992</v>
      </c>
      <c r="F48" s="23" t="str">
        <f ca="1">IFERROR(__xludf.DUMMYFUNCTION("GOOGLETRANSLATE(B48, ""en"", ""tr"")"),"Firavun")</f>
        <v>Firavun</v>
      </c>
      <c r="G48" s="23" t="str">
        <f ca="1">IFERROR(__xludf.DUMMYFUNCTION("GOOGLETRANSLATE(B48, ""en"", ""pt"")"),"faraó")</f>
        <v>faraó</v>
      </c>
      <c r="H48" s="24" t="str">
        <f ca="1">IFERROR(__xludf.DUMMYFUNCTION("GOOGLETRANSLATE(B48, ""en"", ""de"")"),"Pharao")</f>
        <v>Pharao</v>
      </c>
      <c r="I48" s="23" t="str">
        <f ca="1">IFERROR(__xludf.DUMMYFUNCTION("GOOGLETRANSLATE(B48, ""en"", ""pl"")"),"faraon")</f>
        <v>faraon</v>
      </c>
      <c r="J48" s="25" t="str">
        <f ca="1">IFERROR(__xludf.DUMMYFUNCTION("GOOGLETRANSLATE(B48, ""en"", ""zh"")"),"法老")</f>
        <v>法老</v>
      </c>
      <c r="K48" s="25" t="str">
        <f ca="1">IFERROR(__xludf.DUMMYFUNCTION("GOOGLETRANSLATE(B48, ""en"", ""vi"")"),"Pharaoh.")</f>
        <v>Pharaoh.</v>
      </c>
      <c r="L48" s="26" t="str">
        <f ca="1">IFERROR(__xludf.DUMMYFUNCTION("GOOGLETRANSLATE(B48, ""en"", ""hr"")"),"faraon")</f>
        <v>faraon</v>
      </c>
      <c r="M48" s="28"/>
      <c r="N48" s="28"/>
      <c r="O48" s="28"/>
      <c r="P48" s="28"/>
      <c r="Q48" s="28"/>
      <c r="R48" s="28"/>
      <c r="S48" s="28"/>
      <c r="T48" s="28"/>
      <c r="U48" s="28"/>
      <c r="V48" s="28"/>
      <c r="W48" s="28"/>
      <c r="X48" s="28"/>
      <c r="Y48" s="28"/>
      <c r="Z48" s="28"/>
      <c r="AA48" s="28"/>
      <c r="AB48" s="28"/>
    </row>
    <row r="49" spans="1:28" ht="15.75" customHeight="1" x14ac:dyDescent="0.15">
      <c r="A49" s="21" t="s">
        <v>993</v>
      </c>
      <c r="B49" s="22" t="s">
        <v>994</v>
      </c>
      <c r="C49" s="23" t="str">
        <f ca="1">IFERROR(__xludf.DUMMYFUNCTION("GOOGLETRANSLATE(B49, ""en"", ""fr"")"),"Vampire")</f>
        <v>Vampire</v>
      </c>
      <c r="D49" s="23" t="str">
        <f ca="1">IFERROR(__xludf.DUMMYFUNCTION("GOOGLETRANSLATE(B49, ""en"", ""es"")"),"Vampiro")</f>
        <v>Vampiro</v>
      </c>
      <c r="E49" s="23" t="s">
        <v>995</v>
      </c>
      <c r="F49" s="23" t="str">
        <f ca="1">IFERROR(__xludf.DUMMYFUNCTION("GOOGLETRANSLATE(B49, ""en"", ""tr"")"),"Vampir")</f>
        <v>Vampir</v>
      </c>
      <c r="G49" s="23" t="str">
        <f ca="1">IFERROR(__xludf.DUMMYFUNCTION("GOOGLETRANSLATE(B49, ""en"", ""pt"")"),"Vampiro")</f>
        <v>Vampiro</v>
      </c>
      <c r="H49" s="24" t="str">
        <f ca="1">IFERROR(__xludf.DUMMYFUNCTION("GOOGLETRANSLATE(B49, ""en"", ""de"")"),"Vampir")</f>
        <v>Vampir</v>
      </c>
      <c r="I49" s="23" t="str">
        <f ca="1">IFERROR(__xludf.DUMMYFUNCTION("GOOGLETRANSLATE(B49, ""en"", ""pl"")"),"Wampir")</f>
        <v>Wampir</v>
      </c>
      <c r="J49" s="25" t="str">
        <f ca="1">IFERROR(__xludf.DUMMYFUNCTION("GOOGLETRANSLATE(B49, ""en"", ""zh"")"),"吸血鬼")</f>
        <v>吸血鬼</v>
      </c>
      <c r="K49" s="25" t="str">
        <f ca="1">IFERROR(__xludf.DUMMYFUNCTION("GOOGLETRANSLATE(B49, ""en"", ""vi"")"),"Ma cà rồng")</f>
        <v>Ma cà rồng</v>
      </c>
      <c r="L49" s="26" t="str">
        <f ca="1">IFERROR(__xludf.DUMMYFUNCTION("GOOGLETRANSLATE(B49, ""en"", ""hr"")"),"Vampir")</f>
        <v>Vampir</v>
      </c>
      <c r="M49" s="28"/>
      <c r="N49" s="28"/>
      <c r="O49" s="28"/>
      <c r="P49" s="28"/>
      <c r="Q49" s="28"/>
      <c r="R49" s="28"/>
      <c r="S49" s="28"/>
      <c r="T49" s="28"/>
      <c r="U49" s="28"/>
      <c r="V49" s="28"/>
      <c r="W49" s="28"/>
      <c r="X49" s="28"/>
      <c r="Y49" s="28"/>
      <c r="Z49" s="28"/>
      <c r="AA49" s="28"/>
      <c r="AB49" s="28"/>
    </row>
    <row r="50" spans="1:28" ht="14" x14ac:dyDescent="0.15">
      <c r="A50" s="21" t="s">
        <v>996</v>
      </c>
      <c r="B50" s="22" t="s">
        <v>997</v>
      </c>
      <c r="C50" s="23" t="str">
        <f ca="1">IFERROR(__xludf.DUMMYFUNCTION("GOOGLETRANSLATE(B50, ""en"", ""fr"")"),"Prêtre de sang")</f>
        <v>Prêtre de sang</v>
      </c>
      <c r="D50" s="23" t="str">
        <f ca="1">IFERROR(__xludf.DUMMYFUNCTION("GOOGLETRANSLATE(B50, ""en"", ""es"")"),"Sacerdote sanguíneo")</f>
        <v>Sacerdote sanguíneo</v>
      </c>
      <c r="E50" s="23" t="str">
        <f ca="1">IFERROR(__xludf.DUMMYFUNCTION("GOOGLETRANSLATE(B50, ""en"", ""ru"")"),"Священник крови")</f>
        <v>Священник крови</v>
      </c>
      <c r="F50" s="23" t="str">
        <f ca="1">IFERROR(__xludf.DUMMYFUNCTION("GOOGLETRANSLATE(B50, ""en"", ""tr"")"),"Kan rahip")</f>
        <v>Kan rahip</v>
      </c>
      <c r="G50" s="23" t="str">
        <f ca="1">IFERROR(__xludf.DUMMYFUNCTION("GOOGLETRANSLATE(B50, ""en"", ""pt"")"),"Sangue Sacerdote.")</f>
        <v>Sangue Sacerdote.</v>
      </c>
      <c r="H50" s="24" t="str">
        <f ca="1">IFERROR(__xludf.DUMMYFUNCTION("GOOGLETRANSLATE(B50, ""en"", ""de"")"),"Blutpriester")</f>
        <v>Blutpriester</v>
      </c>
      <c r="I50" s="23" t="str">
        <f ca="1">IFERROR(__xludf.DUMMYFUNCTION("GOOGLETRANSLATE(B50, ""en"", ""pl"")"),"Księdza krwi")</f>
        <v>Księdza krwi</v>
      </c>
      <c r="J50" s="25" t="str">
        <f ca="1">IFERROR(__xludf.DUMMYFUNCTION("GOOGLETRANSLATE(B50, ""en"", ""zh"")"),"血牧师")</f>
        <v>血牧师</v>
      </c>
      <c r="K50" s="25" t="str">
        <f ca="1">IFERROR(__xludf.DUMMYFUNCTION("GOOGLETRANSLATE(B50, ""en"", ""vi"")"),"Linh mục máu")</f>
        <v>Linh mục máu</v>
      </c>
      <c r="L50" s="26" t="str">
        <f ca="1">IFERROR(__xludf.DUMMYFUNCTION("GOOGLETRANSLATE(B50, ""en"", ""hr"")"),"Svećenik krvi")</f>
        <v>Svećenik krvi</v>
      </c>
      <c r="M50" s="28"/>
      <c r="N50" s="28"/>
      <c r="O50" s="28"/>
      <c r="P50" s="28"/>
      <c r="Q50" s="28"/>
      <c r="R50" s="28"/>
      <c r="S50" s="28"/>
      <c r="T50" s="28"/>
      <c r="U50" s="28"/>
      <c r="V50" s="28"/>
      <c r="W50" s="28"/>
      <c r="X50" s="28"/>
      <c r="Y50" s="28"/>
      <c r="Z50" s="28"/>
      <c r="AA50" s="28"/>
      <c r="AB50" s="28"/>
    </row>
    <row r="51" spans="1:28" ht="14" x14ac:dyDescent="0.15">
      <c r="A51" s="21" t="s">
        <v>998</v>
      </c>
      <c r="B51" s="22" t="s">
        <v>999</v>
      </c>
      <c r="C51" s="23" t="str">
        <f ca="1">IFERROR(__xludf.DUMMYFUNCTION("GOOGLETRANSLATE(B51, ""en"", ""fr"")"),"Seigneur de sang")</f>
        <v>Seigneur de sang</v>
      </c>
      <c r="D51" s="23" t="str">
        <f ca="1">IFERROR(__xludf.DUMMYFUNCTION("GOOGLETRANSLATE(B51, ""en"", ""es"")"),"Señor de la sangre")</f>
        <v>Señor de la sangre</v>
      </c>
      <c r="E51" s="23" t="str">
        <f ca="1">IFERROR(__xludf.DUMMYFUNCTION("GOOGLETRANSLATE(B51, ""en"", ""ru"")"),"Лорд крови")</f>
        <v>Лорд крови</v>
      </c>
      <c r="F51" s="23" t="str">
        <f ca="1">IFERROR(__xludf.DUMMYFUNCTION("GOOGLETRANSLATE(B51, ""en"", ""tr"")"),"Kan")</f>
        <v>Kan</v>
      </c>
      <c r="G51" s="23" t="str">
        <f ca="1">IFERROR(__xludf.DUMMYFUNCTION("GOOGLETRANSLATE(B51, ""en"", ""pt"")"),"Senhor Senhor")</f>
        <v>Senhor Senhor</v>
      </c>
      <c r="H51" s="24" t="str">
        <f ca="1">IFERROR(__xludf.DUMMYFUNCTION("GOOGLETRANSLATE(B51, ""en"", ""de"")"),"Blutlord")</f>
        <v>Blutlord</v>
      </c>
      <c r="I51" s="23" t="str">
        <f ca="1">IFERROR(__xludf.DUMMYFUNCTION("GOOGLETRANSLATE(B51, ""en"", ""pl"")"),"Panie krwi")</f>
        <v>Panie krwi</v>
      </c>
      <c r="J51" s="25" t="str">
        <f ca="1">IFERROR(__xludf.DUMMYFUNCTION("GOOGLETRANSLATE(B51, ""en"", ""zh"")"),"血主")</f>
        <v>血主</v>
      </c>
      <c r="K51" s="25" t="str">
        <f ca="1">IFERROR(__xludf.DUMMYFUNCTION("GOOGLETRANSLATE(B51, ""en"", ""vi"")"),"Chúa máu")</f>
        <v>Chúa máu</v>
      </c>
      <c r="L51" s="26" t="str">
        <f ca="1">IFERROR(__xludf.DUMMYFUNCTION("GOOGLETRANSLATE(B51, ""en"", ""hr"")"),"Krv")</f>
        <v>Krv</v>
      </c>
      <c r="M51" s="28"/>
      <c r="N51" s="28"/>
      <c r="O51" s="28"/>
      <c r="P51" s="28"/>
      <c r="Q51" s="28"/>
      <c r="R51" s="28"/>
      <c r="S51" s="28"/>
      <c r="T51" s="28"/>
      <c r="U51" s="28"/>
      <c r="V51" s="28"/>
      <c r="W51" s="28"/>
      <c r="X51" s="28"/>
      <c r="Y51" s="28"/>
      <c r="Z51" s="28"/>
      <c r="AA51" s="28"/>
      <c r="AB51" s="28"/>
    </row>
    <row r="52" spans="1:28" ht="14" x14ac:dyDescent="0.15">
      <c r="A52" s="21" t="s">
        <v>1000</v>
      </c>
      <c r="B52" s="22" t="s">
        <v>1001</v>
      </c>
      <c r="C52" s="23" t="str">
        <f ca="1">IFERROR(__xludf.DUMMYFUNCTION("GOOGLETRANSLATE(B52, ""en"", ""fr"")"),"Hargne")</f>
        <v>Hargne</v>
      </c>
      <c r="D52" s="23" t="str">
        <f ca="1">IFERROR(__xludf.DUMMYFUNCTION("GOOGLETRANSLATE(B52, ""en"", ""es"")"),"Nudo")</f>
        <v>Nudo</v>
      </c>
      <c r="E52" s="23" t="str">
        <f ca="1">IFERROR(__xludf.DUMMYFUNCTION("GOOGLETRANSLATE(B52, ""en"", ""ru"")"),"Гнарл")</f>
        <v>Гнарл</v>
      </c>
      <c r="F52" s="23" t="str">
        <f ca="1">IFERROR(__xludf.DUMMYFUNCTION("GOOGLETRANSLATE(B52, ""en"", ""tr"")"),"Gnarl")</f>
        <v>Gnarl</v>
      </c>
      <c r="G52" s="23" t="str">
        <f ca="1">IFERROR(__xludf.DUMMYFUNCTION("GOOGLETRANSLATE(B52, ""en"", ""pt"")"),"Gnarl.")</f>
        <v>Gnarl.</v>
      </c>
      <c r="H52" s="24" t="str">
        <f ca="1">IFERROR(__xludf.DUMMYFUNCTION("GOOGLETRANSLATE(B52, ""en"", ""de"")"),"Gnarl")</f>
        <v>Gnarl</v>
      </c>
      <c r="I52" s="23" t="str">
        <f ca="1">IFERROR(__xludf.DUMMYFUNCTION("GOOGLETRANSLATE(B52, ""en"", ""pl"")"),"Narośl")</f>
        <v>Narośl</v>
      </c>
      <c r="J52" s="25" t="str">
        <f ca="1">IFERROR(__xludf.DUMMYFUNCTION("GOOGLETRANSLATE(B52, ""en"", ""zh"")"),"Gnarl.")</f>
        <v>Gnarl.</v>
      </c>
      <c r="K52" s="25" t="str">
        <f ca="1">IFERROR(__xludf.DUMMYFUNCTION("GOOGLETRANSLATE(B52, ""en"", ""vi"")"),"GNARL.")</f>
        <v>GNARL.</v>
      </c>
      <c r="L52" s="26" t="str">
        <f ca="1">IFERROR(__xludf.DUMMYFUNCTION("GOOGLETRANSLATE(B52, ""en"", ""hr"")"),"Gnarl")</f>
        <v>Gnarl</v>
      </c>
      <c r="M52" s="28"/>
      <c r="N52" s="28"/>
      <c r="O52" s="28"/>
      <c r="P52" s="28"/>
      <c r="Q52" s="28"/>
      <c r="R52" s="28"/>
      <c r="S52" s="28"/>
      <c r="T52" s="28"/>
      <c r="U52" s="28"/>
      <c r="V52" s="28"/>
      <c r="W52" s="28"/>
      <c r="X52" s="28"/>
      <c r="Y52" s="28"/>
      <c r="Z52" s="28"/>
      <c r="AA52" s="28"/>
      <c r="AB52" s="28"/>
    </row>
    <row r="53" spans="1:28" ht="14" x14ac:dyDescent="0.15">
      <c r="A53" s="21" t="s">
        <v>1002</v>
      </c>
      <c r="B53" s="22" t="s">
        <v>1003</v>
      </c>
      <c r="C53" s="23" t="str">
        <f ca="1">IFERROR(__xludf.DUMMYFUNCTION("GOOGLETRANSLATE(B53, ""en"", ""fr"")"),"Grand gnarl")</f>
        <v>Grand gnarl</v>
      </c>
      <c r="D53" s="23" t="str">
        <f ca="1">IFERROR(__xludf.DUMMYFUNCTION("GOOGLETRANSLATE(B53, ""en"", ""es"")"),"GRAN GNARL")</f>
        <v>GRAN GNARL</v>
      </c>
      <c r="E53" s="23" t="str">
        <f ca="1">IFERROR(__xludf.DUMMYFUNCTION("GOOGLETRANSLATE(B53, ""en"", ""ru"")"),"Великий гнарл")</f>
        <v>Великий гнарл</v>
      </c>
      <c r="F53" s="23" t="str">
        <f ca="1">IFERROR(__xludf.DUMMYFUNCTION("GOOGLETRANSLATE(B53, ""en"", ""tr"")"),"Büyük gnarl")</f>
        <v>Büyük gnarl</v>
      </c>
      <c r="G53" s="23" t="str">
        <f ca="1">IFERROR(__xludf.DUMMYFUNCTION("GOOGLETRANSLATE(B53, ""en"", ""pt"")"),"Grande gnarl.")</f>
        <v>Grande gnarl.</v>
      </c>
      <c r="H53" s="24" t="str">
        <f ca="1">IFERROR(__xludf.DUMMYFUNCTION("GOOGLETRANSLATE(B53, ""en"", ""de"")"),"Tolle Gnarl.")</f>
        <v>Tolle Gnarl.</v>
      </c>
      <c r="I53" s="23" t="str">
        <f ca="1">IFERROR(__xludf.DUMMYFUNCTION("GOOGLETRANSLATE(B53, ""en"", ""pl"")"),"Wielki Gnarl.")</f>
        <v>Wielki Gnarl.</v>
      </c>
      <c r="J53" s="25" t="str">
        <f ca="1">IFERROR(__xludf.DUMMYFUNCTION("GOOGLETRANSLATE(B53, ""en"", ""zh"")"),"伟大的gnarl.")</f>
        <v>伟大的gnarl.</v>
      </c>
      <c r="K53" s="25" t="str">
        <f ca="1">IFERROR(__xludf.DUMMYFUNCTION("GOOGLETRANSLATE(B53, ""en"", ""vi"")"),"GNARL tuyệt vời")</f>
        <v>GNARL tuyệt vời</v>
      </c>
      <c r="L53" s="26" t="str">
        <f ca="1">IFERROR(__xludf.DUMMYFUNCTION("GOOGLETRANSLATE(B53, ""en"", ""hr"")"),"Veliki gnarl")</f>
        <v>Veliki gnarl</v>
      </c>
      <c r="M53" s="28"/>
      <c r="N53" s="28"/>
      <c r="O53" s="28"/>
      <c r="P53" s="28"/>
      <c r="Q53" s="28"/>
      <c r="R53" s="28"/>
      <c r="S53" s="28"/>
      <c r="T53" s="28"/>
      <c r="U53" s="28"/>
      <c r="V53" s="28"/>
      <c r="W53" s="28"/>
      <c r="X53" s="28"/>
      <c r="Y53" s="28"/>
      <c r="Z53" s="28"/>
      <c r="AA53" s="28"/>
      <c r="AB53" s="28"/>
    </row>
    <row r="54" spans="1:28" ht="14" x14ac:dyDescent="0.15">
      <c r="A54" s="21" t="s">
        <v>1004</v>
      </c>
      <c r="B54" s="22" t="s">
        <v>1005</v>
      </c>
      <c r="C54" s="23" t="str">
        <f ca="1">IFERROR(__xludf.DUMMYFUNCTION("GOOGLETRANSLATE(B54, ""en"", ""fr"")"),"mage")</f>
        <v>mage</v>
      </c>
      <c r="D54" s="23" t="str">
        <f ca="1">IFERROR(__xludf.DUMMYFUNCTION("GOOGLETRANSLATE(B54, ""en"", ""es"")"),"Mago")</f>
        <v>Mago</v>
      </c>
      <c r="E54" s="23" t="s">
        <v>1006</v>
      </c>
      <c r="F54" s="23" t="str">
        <f ca="1">IFERROR(__xludf.DUMMYFUNCTION("GOOGLETRANSLATE(B54, ""en"", ""tr"")"),"Makyaj")</f>
        <v>Makyaj</v>
      </c>
      <c r="G54" s="23" t="str">
        <f ca="1">IFERROR(__xludf.DUMMYFUNCTION("GOOGLETRANSLATE(B54, ""en"", ""pt"")"),"Mago")</f>
        <v>Mago</v>
      </c>
      <c r="H54" s="24" t="str">
        <f ca="1">IFERROR(__xludf.DUMMYFUNCTION("GOOGLETRANSLATE(B54, ""en"", ""de"")"),"Magier")</f>
        <v>Magier</v>
      </c>
      <c r="I54" s="23" t="str">
        <f ca="1">IFERROR(__xludf.DUMMYFUNCTION("GOOGLETRANSLATE(B54, ""en"", ""pl"")"),"Mag")</f>
        <v>Mag</v>
      </c>
      <c r="J54" s="25" t="str">
        <f ca="1">IFERROR(__xludf.DUMMYFUNCTION("GOOGLETRANSLATE(B54, ""en"", ""zh"")"),"法师")</f>
        <v>法师</v>
      </c>
      <c r="K54" s="25" t="str">
        <f ca="1">IFERROR(__xludf.DUMMYFUNCTION("GOOGLETRANSLATE(B54, ""en"", ""vi"")"),"Mage.")</f>
        <v>Mage.</v>
      </c>
      <c r="L54" s="26" t="str">
        <f ca="1">IFERROR(__xludf.DUMMYFUNCTION("GOOGLETRANSLATE(B54, ""en"", ""hr"")"),"Mag")</f>
        <v>Mag</v>
      </c>
      <c r="M54" s="28"/>
      <c r="N54" s="28"/>
      <c r="O54" s="28"/>
      <c r="P54" s="28"/>
      <c r="Q54" s="28"/>
      <c r="R54" s="28"/>
      <c r="S54" s="28"/>
      <c r="T54" s="28"/>
      <c r="U54" s="28"/>
      <c r="V54" s="28"/>
      <c r="W54" s="28"/>
      <c r="X54" s="28"/>
      <c r="Y54" s="28"/>
      <c r="Z54" s="28"/>
      <c r="AA54" s="28"/>
      <c r="AB54" s="28"/>
    </row>
    <row r="55" spans="1:28" ht="14" x14ac:dyDescent="0.15">
      <c r="A55" s="21" t="s">
        <v>1007</v>
      </c>
      <c r="B55" s="22" t="s">
        <v>1008</v>
      </c>
      <c r="C55" s="23" t="str">
        <f ca="1">IFERROR(__xludf.DUMMYFUNCTION("GOOGLETRANSLATE(B55, ""en"", ""fr"")"),"Arche mage")</f>
        <v>Arche mage</v>
      </c>
      <c r="D55" s="23" t="str">
        <f ca="1">IFERROR(__xludf.DUMMYFUNCTION("GOOGLETRANSLATE(B55, ""en"", ""es"")"),"Mago de arco")</f>
        <v>Mago de arco</v>
      </c>
      <c r="E55" s="23" t="str">
        <f ca="1">IFERROR(__xludf.DUMMYFUNCTION("GOOGLETRANSLATE(B55, ""en"", ""ru"")"),"Арка маг")</f>
        <v>Арка маг</v>
      </c>
      <c r="F55" s="23" t="str">
        <f ca="1">IFERROR(__xludf.DUMMYFUNCTION("GOOGLETRANSLATE(B55, ""en"", ""tr"")"),"Baş büyücü")</f>
        <v>Baş büyücü</v>
      </c>
      <c r="G55" s="23" t="str">
        <f ca="1">IFERROR(__xludf.DUMMYFUNCTION("GOOGLETRANSLATE(B55, ""en"", ""pt"")"),"Arch Mage")</f>
        <v>Arch Mage</v>
      </c>
      <c r="H55" s="24" t="str">
        <f ca="1">IFERROR(__xludf.DUMMYFUNCTION("GOOGLETRANSLATE(B55, ""en"", ""de"")"),"Bogenmager")</f>
        <v>Bogenmager</v>
      </c>
      <c r="I55" s="23" t="str">
        <f ca="1">IFERROR(__xludf.DUMMYFUNCTION("GOOGLETRANSLATE(B55, ""en"", ""pl"")"),"Arch Mag.")</f>
        <v>Arch Mag.</v>
      </c>
      <c r="J55" s="25" t="str">
        <f ca="1">IFERROR(__xludf.DUMMYFUNCTION("GOOGLETRANSLATE(B55, ""en"", ""zh"")"),"拱门法师")</f>
        <v>拱门法师</v>
      </c>
      <c r="K55" s="25" t="str">
        <f ca="1">IFERROR(__xludf.DUMMYFUNCTION("GOOGLETRANSLATE(B55, ""en"", ""vi"")"),"Arch Mage.")</f>
        <v>Arch Mage.</v>
      </c>
      <c r="L55" s="26" t="str">
        <f ca="1">IFERROR(__xludf.DUMMYFUNCTION("GOOGLETRANSLATE(B55, ""en"", ""hr"")"),"Luk")</f>
        <v>Luk</v>
      </c>
      <c r="M55" s="28"/>
      <c r="N55" s="28"/>
      <c r="O55" s="28"/>
      <c r="P55" s="28"/>
      <c r="Q55" s="28"/>
      <c r="R55" s="28"/>
      <c r="S55" s="28"/>
      <c r="T55" s="28"/>
      <c r="U55" s="28"/>
      <c r="V55" s="28"/>
      <c r="W55" s="28"/>
      <c r="X55" s="28"/>
      <c r="Y55" s="28"/>
      <c r="Z55" s="28"/>
      <c r="AA55" s="28"/>
      <c r="AB55" s="28"/>
    </row>
    <row r="56" spans="1:28" ht="14" x14ac:dyDescent="0.15">
      <c r="A56" s="21" t="s">
        <v>1009</v>
      </c>
      <c r="B56" s="22" t="s">
        <v>1010</v>
      </c>
      <c r="C56" s="23" t="str">
        <f ca="1">IFERROR(__xludf.DUMMYFUNCTION("GOOGLETRANSLATE(B56, ""en"", ""fr"")"),"Golem de fer")</f>
        <v>Golem de fer</v>
      </c>
      <c r="D56" s="23" t="str">
        <f ca="1">IFERROR(__xludf.DUMMYFUNCTION("GOOGLETRANSLATE(B56, ""en"", ""es"")"),"Golem de hierro")</f>
        <v>Golem de hierro</v>
      </c>
      <c r="E56" s="23" t="str">
        <f ca="1">IFERROR(__xludf.DUMMYFUNCTION("GOOGLETRANSLATE(B56, ""en"", ""ru"")"),"Железный Голем")</f>
        <v>Железный Голем</v>
      </c>
      <c r="F56" s="23" t="str">
        <f ca="1">IFERROR(__xludf.DUMMYFUNCTION("GOOGLETRANSLATE(B56, ""en"", ""tr"")"),"Demir Golem")</f>
        <v>Demir Golem</v>
      </c>
      <c r="G56" s="23" t="str">
        <f ca="1">IFERROR(__xludf.DUMMYFUNCTION("GOOGLETRANSLATE(B56, ""en"", ""pt"")"),"Gigante de Ferro")</f>
        <v>Gigante de Ferro</v>
      </c>
      <c r="H56" s="24" t="str">
        <f ca="1">IFERROR(__xludf.DUMMYFUNCTION("GOOGLETRANSLATE(B56, ""en"", ""de"")"),"Eisengolem.")</f>
        <v>Eisengolem.</v>
      </c>
      <c r="I56" s="23" t="str">
        <f ca="1">IFERROR(__xludf.DUMMYFUNCTION("GOOGLETRANSLATE(B56, ""en"", ""pl"")"),"Żelazny golem")</f>
        <v>Żelazny golem</v>
      </c>
      <c r="J56" s="25" t="str">
        <f ca="1">IFERROR(__xludf.DUMMYFUNCTION("GOOGLETRANSLATE(B56, ""en"", ""zh"")"),"铁巨人")</f>
        <v>铁巨人</v>
      </c>
      <c r="K56" s="25" t="str">
        <f ca="1">IFERROR(__xludf.DUMMYFUNCTION("GOOGLETRANSLATE(B56, ""en"", ""vi"")"),"Sắt golem.")</f>
        <v>Sắt golem.</v>
      </c>
      <c r="L56" s="26" t="str">
        <f ca="1">IFERROR(__xludf.DUMMYFUNCTION("GOOGLETRANSLATE(B56, ""en"", ""hr"")"),"Željezo golem")</f>
        <v>Željezo golem</v>
      </c>
      <c r="M56" s="28"/>
      <c r="N56" s="28"/>
      <c r="O56" s="28"/>
      <c r="P56" s="28"/>
      <c r="Q56" s="28"/>
      <c r="R56" s="28"/>
      <c r="S56" s="28"/>
      <c r="T56" s="28"/>
      <c r="U56" s="28"/>
      <c r="V56" s="28"/>
      <c r="W56" s="28"/>
      <c r="X56" s="28"/>
      <c r="Y56" s="28"/>
      <c r="Z56" s="28"/>
      <c r="AA56" s="28"/>
      <c r="AB56" s="28"/>
    </row>
    <row r="57" spans="1:28" ht="14" x14ac:dyDescent="0.15">
      <c r="A57" s="21" t="s">
        <v>1011</v>
      </c>
      <c r="B57" s="22" t="s">
        <v>1012</v>
      </c>
      <c r="C57" s="23" t="str">
        <f ca="1">IFERROR(__xludf.DUMMYFUNCTION("GOOGLETRANSLATE(B57, ""en"", ""fr"")"),"Dungium Golem")</f>
        <v>Dungium Golem</v>
      </c>
      <c r="D57" s="23" t="str">
        <f ca="1">IFERROR(__xludf.DUMMYFUNCTION("GOOGLETRANSLATE(B57, ""en"", ""es"")"),"Dungium Golem")</f>
        <v>Dungium Golem</v>
      </c>
      <c r="E57" s="23" t="str">
        <f ca="1">IFERROR(__xludf.DUMMYFUNCTION("GOOGLETRANSLATE(B57, ""en"", ""ru"")"),"Дунгуль Голема")</f>
        <v>Дунгуль Голема</v>
      </c>
      <c r="F57" s="23" t="str">
        <f ca="1">IFERROR(__xludf.DUMMYFUNCTION("GOOGLETRANSLATE(B57, ""en"", ""tr"")"),"Dungium golem")</f>
        <v>Dungium golem</v>
      </c>
      <c r="G57" s="23" t="str">
        <f ca="1">IFERROR(__xludf.DUMMYFUNCTION("GOOGLETRANSLATE(B57, ""en"", ""pt"")"),"Dungium Golem.")</f>
        <v>Dungium Golem.</v>
      </c>
      <c r="H57" s="24" t="str">
        <f ca="1">IFERROR(__xludf.DUMMYFUNCTION("GOOGLETRANSLATE(B57, ""en"", ""de"")"),"Dungium Golem.")</f>
        <v>Dungium Golem.</v>
      </c>
      <c r="I57" s="23" t="str">
        <f ca="1">IFERROR(__xludf.DUMMYFUNCTION("GOOGLETRANSLATE(B57, ""en"", ""pl"")"),"Dungium Golem.")</f>
        <v>Dungium Golem.</v>
      </c>
      <c r="J57" s="25" t="str">
        <f ca="1">IFERROR(__xludf.DUMMYFUNCTION("GOOGLETRANSLATE(B57, ""en"", ""zh"")"),"Dungium golem.")</f>
        <v>Dungium golem.</v>
      </c>
      <c r="K57" s="25" t="str">
        <f ca="1">IFERROR(__xludf.DUMMYFUNCTION("GOOGLETRANSLATE(B57, ""en"", ""vi"")"),"Dungium golem.")</f>
        <v>Dungium golem.</v>
      </c>
      <c r="L57" s="26" t="str">
        <f ca="1">IFERROR(__xludf.DUMMYFUNCTION("GOOGLETRANSLATE(B57, ""en"", ""hr"")"),"Dungium Golem")</f>
        <v>Dungium Golem</v>
      </c>
      <c r="M57" s="28"/>
      <c r="N57" s="28"/>
      <c r="O57" s="28"/>
      <c r="P57" s="28"/>
      <c r="Q57" s="28"/>
      <c r="R57" s="28"/>
      <c r="S57" s="28"/>
      <c r="T57" s="28"/>
      <c r="U57" s="28"/>
      <c r="V57" s="28"/>
      <c r="W57" s="28"/>
      <c r="X57" s="28"/>
      <c r="Y57" s="28"/>
      <c r="Z57" s="28"/>
      <c r="AA57" s="28"/>
      <c r="AB57" s="28"/>
    </row>
    <row r="58" spans="1:28" ht="14" x14ac:dyDescent="0.15">
      <c r="A58" s="21" t="s">
        <v>1013</v>
      </c>
      <c r="B58" s="22" t="s">
        <v>1014</v>
      </c>
      <c r="C58" s="23" t="str">
        <f ca="1">IFERROR(__xludf.DUMMYFUNCTION("GOOGLETRANSLATE(B58, ""en"", ""fr"")"),"Agonite golem")</f>
        <v>Agonite golem</v>
      </c>
      <c r="D58" s="23" t="str">
        <f ca="1">IFERROR(__xludf.DUMMYFUNCTION("GOOGLETRANSLATE(B58, ""en"", ""es"")"),"Agonita golem")</f>
        <v>Agonita golem</v>
      </c>
      <c r="E58" s="23" t="str">
        <f ca="1">IFERROR(__xludf.DUMMYFUNCTION("GOOGLETRANSLATE(B58, ""en"", ""ru"")"),"Агонит Голема")</f>
        <v>Агонит Голема</v>
      </c>
      <c r="F58" s="23" t="str">
        <f ca="1">IFERROR(__xludf.DUMMYFUNCTION("GOOGLETRANSLATE(B58, ""en"", ""tr"")"),"Agonite Golem")</f>
        <v>Agonite Golem</v>
      </c>
      <c r="G58" s="23" t="str">
        <f ca="1">IFERROR(__xludf.DUMMYFUNCTION("GOOGLETRANSLATE(B58, ""en"", ""pt"")"),"Golem de agonite.")</f>
        <v>Golem de agonite.</v>
      </c>
      <c r="H58" s="24" t="str">
        <f ca="1">IFERROR(__xludf.DUMMYFUNCTION("GOOGLETRANSLATE(B58, ""en"", ""de"")"),"Agonite Golem.")</f>
        <v>Agonite Golem.</v>
      </c>
      <c r="I58" s="23" t="str">
        <f ca="1">IFERROR(__xludf.DUMMYFUNCTION("GOOGLETRANSLATE(B58, ""en"", ""pl"")"),"Agonite golem.")</f>
        <v>Agonite golem.</v>
      </c>
      <c r="J58" s="25" t="str">
        <f ca="1">IFERROR(__xludf.DUMMYFUNCTION("GOOGLETRANSLATE(B58, ""en"", ""zh"")"),"Agonite Golem.")</f>
        <v>Agonite Golem.</v>
      </c>
      <c r="K58" s="25" t="str">
        <f ca="1">IFERROR(__xludf.DUMMYFUNCTION("GOOGLETRANSLATE(B58, ""en"", ""vi"")"),"Agonite golem.")</f>
        <v>Agonite golem.</v>
      </c>
      <c r="L58" s="26" t="str">
        <f ca="1">IFERROR(__xludf.DUMMYFUNCTION("GOOGLETRANSLATE(B58, ""en"", ""hr"")"),"Agonit golem")</f>
        <v>Agonit golem</v>
      </c>
      <c r="M58" s="28"/>
      <c r="N58" s="28"/>
      <c r="O58" s="28"/>
      <c r="P58" s="28"/>
      <c r="Q58" s="28"/>
      <c r="R58" s="28"/>
      <c r="S58" s="28"/>
      <c r="T58" s="28"/>
      <c r="U58" s="28"/>
      <c r="V58" s="28"/>
      <c r="W58" s="28"/>
      <c r="X58" s="28"/>
      <c r="Y58" s="28"/>
      <c r="Z58" s="28"/>
      <c r="AA58" s="28"/>
      <c r="AB58" s="28"/>
    </row>
    <row r="59" spans="1:28" ht="14" x14ac:dyDescent="0.15">
      <c r="A59" s="21" t="s">
        <v>1015</v>
      </c>
      <c r="B59" s="22" t="s">
        <v>1016</v>
      </c>
      <c r="C59" s="23" t="str">
        <f ca="1">IFERROR(__xludf.DUMMYFUNCTION("GOOGLETRANSLATE(B59, ""en"", ""fr"")"),"Noctis golem")</f>
        <v>Noctis golem</v>
      </c>
      <c r="D59" s="23" t="str">
        <f ca="1">IFERROR(__xludf.DUMMYFUNCTION("GOOGLETRANSLATE(B59, ""en"", ""es"")"),"Noctis Golem")</f>
        <v>Noctis Golem</v>
      </c>
      <c r="E59" s="23" t="str">
        <f ca="1">IFERROR(__xludf.DUMMYFUNCTION("GOOGLETRANSLATE(B59, ""en"", ""ru"")"),"Ноктис Голема")</f>
        <v>Ноктис Голема</v>
      </c>
      <c r="F59" s="23" t="str">
        <f ca="1">IFERROR(__xludf.DUMMYFUNCTION("GOOGLETRANSLATE(B59, ""en"", ""tr"")"),"Noctis golem")</f>
        <v>Noctis golem</v>
      </c>
      <c r="G59" s="23" t="str">
        <f ca="1">IFERROR(__xludf.DUMMYFUNCTION("GOOGLETRANSLATE(B59, ""en"", ""pt"")"),"Noctis Golem.")</f>
        <v>Noctis Golem.</v>
      </c>
      <c r="H59" s="24" t="str">
        <f ca="1">IFERROR(__xludf.DUMMYFUNCTION("GOOGLETRANSLATE(B59, ""en"", ""de"")"),"Noctis Golem.")</f>
        <v>Noctis Golem.</v>
      </c>
      <c r="I59" s="23" t="str">
        <f ca="1">IFERROR(__xludf.DUMMYFUNCTION("GOOGLETRANSLATE(B59, ""en"", ""pl"")"),"Noctis Golem.")</f>
        <v>Noctis Golem.</v>
      </c>
      <c r="J59" s="25" t="str">
        <f ca="1">IFERROR(__xludf.DUMMYFUNCTION("GOOGLETRANSLATE(B59, ""en"", ""zh"")"),"诺克密戈尔姆")</f>
        <v>诺克密戈尔姆</v>
      </c>
      <c r="K59" s="25" t="str">
        <f ca="1">IFERROR(__xludf.DUMMYFUNCTION("GOOGLETRANSLATE(B59, ""en"", ""vi"")"),"Noctis golem.")</f>
        <v>Noctis golem.</v>
      </c>
      <c r="L59" s="26" t="str">
        <f ca="1">IFERROR(__xludf.DUMMYFUNCTION("GOOGLETRANSLATE(B59, ""en"", ""hr"")"),"Noctis Golem")</f>
        <v>Noctis Golem</v>
      </c>
      <c r="M59" s="28"/>
      <c r="N59" s="28"/>
      <c r="O59" s="28"/>
      <c r="P59" s="28"/>
      <c r="Q59" s="28"/>
      <c r="R59" s="28"/>
      <c r="S59" s="28"/>
      <c r="T59" s="28"/>
      <c r="U59" s="28"/>
      <c r="V59" s="28"/>
      <c r="W59" s="28"/>
      <c r="X59" s="28"/>
      <c r="Y59" s="28"/>
      <c r="Z59" s="28"/>
      <c r="AA59" s="28"/>
      <c r="AB59" s="28"/>
    </row>
    <row r="60" spans="1:28" ht="14" x14ac:dyDescent="0.15">
      <c r="A60" s="21" t="s">
        <v>1017</v>
      </c>
      <c r="B60" s="22" t="s">
        <v>1018</v>
      </c>
      <c r="C60" s="23" t="str">
        <f ca="1">IFERROR(__xludf.DUMMYFUNCTION("GOOGLETRANSLATE(B60, ""en"", ""fr"")"),"Additionnel")</f>
        <v>Additionnel</v>
      </c>
      <c r="D60" s="23" t="str">
        <f ca="1">IFERROR(__xludf.DUMMYFUNCTION("GOOGLETRANSLATE(B60, ""en"", ""es"")"),"Adumbral")</f>
        <v>Adumbral</v>
      </c>
      <c r="E60" s="23" t="str">
        <f ca="1">IFERROR(__xludf.DUMMYFUNCTION("GOOGLETRANSLATE(B60, ""en"", ""ru"")"),"Адумбрал")</f>
        <v>Адумбрал</v>
      </c>
      <c r="F60" s="23" t="str">
        <f ca="1">IFERROR(__xludf.DUMMYFUNCTION("GOOGLETRANSLATE(B60, ""en"", ""tr"")"),"Haydut")</f>
        <v>Haydut</v>
      </c>
      <c r="G60" s="23" t="str">
        <f ca="1">IFERROR(__xludf.DUMMYFUNCTION("GOOGLETRANSLATE(B60, ""en"", ""pt"")"),"Adumbral.")</f>
        <v>Adumbral.</v>
      </c>
      <c r="H60" s="24" t="str">
        <f ca="1">IFERROR(__xludf.DUMMYFUNCTION("GOOGLETRANSLATE(B60, ""en"", ""de"")"),"Adumbral")</f>
        <v>Adumbral</v>
      </c>
      <c r="I60" s="23" t="str">
        <f ca="1">IFERROR(__xludf.DUMMYFUNCTION("GOOGLETRANSLATE(B60, ""en"", ""pl"")"),"Adumbral.")</f>
        <v>Adumbral.</v>
      </c>
      <c r="J60" s="25" t="str">
        <f ca="1">IFERROR(__xludf.DUMMYFUNCTION("GOOGLETRANSLATE(B60, ""en"", ""zh"")"),"adumbral.")</f>
        <v>adumbral.</v>
      </c>
      <c r="K60" s="25" t="str">
        <f ca="1">IFERROR(__xludf.DUMMYFUNCTION("GOOGLETRANSLATE(B60, ""en"", ""vi"")"),"Adumbral.")</f>
        <v>Adumbral.</v>
      </c>
      <c r="L60" s="26" t="str">
        <f ca="1">IFERROR(__xludf.DUMMYFUNCTION("GOOGLETRANSLATE(B60, ""en"", ""hr"")"),"Adumbralan")</f>
        <v>Adumbralan</v>
      </c>
      <c r="M60" s="28"/>
      <c r="N60" s="28"/>
      <c r="O60" s="28"/>
      <c r="P60" s="28"/>
      <c r="Q60" s="28"/>
      <c r="R60" s="28"/>
      <c r="S60" s="28"/>
      <c r="T60" s="28"/>
      <c r="U60" s="28"/>
      <c r="V60" s="28"/>
      <c r="W60" s="28"/>
      <c r="X60" s="28"/>
      <c r="Y60" s="28"/>
      <c r="Z60" s="28"/>
      <c r="AA60" s="28"/>
      <c r="AB60" s="28"/>
    </row>
    <row r="61" spans="1:28" ht="13" x14ac:dyDescent="0.15">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spans="1:28" ht="13" x14ac:dyDescent="0.15">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spans="1:28" ht="13" x14ac:dyDescent="0.15">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spans="1:28" ht="13" x14ac:dyDescent="0.15">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spans="1:28" ht="13" x14ac:dyDescent="0.1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spans="1:28" ht="13" x14ac:dyDescent="0.15">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spans="1:28" ht="13" x14ac:dyDescent="0.15">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spans="1:28" ht="13" x14ac:dyDescent="0.15">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spans="1:28" ht="13" x14ac:dyDescent="0.15">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spans="1:28" ht="13" x14ac:dyDescent="0.15">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spans="1:28" ht="13" x14ac:dyDescent="0.15">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spans="1:28" ht="13" x14ac:dyDescent="0.15">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spans="1:28" ht="13" x14ac:dyDescent="0.15">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spans="1:28" ht="13" x14ac:dyDescent="0.15">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spans="1:28" ht="13" x14ac:dyDescent="0.1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spans="1:28" ht="13" x14ac:dyDescent="0.15">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spans="1:28" ht="13" x14ac:dyDescent="0.15">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spans="1:28" ht="13" x14ac:dyDescent="0.15">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spans="1:28" ht="13" x14ac:dyDescent="0.15">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spans="1:28" ht="13" x14ac:dyDescent="0.15">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spans="1:28" ht="13" x14ac:dyDescent="0.15">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spans="1:28" ht="13" x14ac:dyDescent="0.15">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spans="1:28" ht="13" x14ac:dyDescent="0.15">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spans="1:28" ht="13" x14ac:dyDescent="0.15">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spans="1:28" ht="13" x14ac:dyDescent="0.1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spans="1:28" ht="13" x14ac:dyDescent="0.15">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spans="1:28" ht="13" x14ac:dyDescent="0.15">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spans="1:28" ht="13" x14ac:dyDescent="0.15">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spans="1:28" ht="13" x14ac:dyDescent="0.15">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spans="1:28" ht="13" x14ac:dyDescent="0.15">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spans="1:28" ht="13" x14ac:dyDescent="0.15">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spans="1:28" ht="13" x14ac:dyDescent="0.15">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spans="1:28" ht="13" x14ac:dyDescent="0.15">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spans="1:28" ht="13" x14ac:dyDescent="0.15">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spans="1:28" ht="13" x14ac:dyDescent="0.1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spans="1:28" ht="13" x14ac:dyDescent="0.15">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spans="1:28" ht="13" x14ac:dyDescent="0.15">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spans="1:28" ht="13" x14ac:dyDescent="0.15">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spans="1:28" ht="13" x14ac:dyDescent="0.15">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spans="1:28" ht="13" x14ac:dyDescent="0.15">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spans="1:28" ht="13" x14ac:dyDescent="0.15">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spans="1:28" ht="13" x14ac:dyDescent="0.15">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spans="1:28" ht="13" x14ac:dyDescent="0.15">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spans="1:28" ht="13" x14ac:dyDescent="0.15">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spans="1:28" ht="13" x14ac:dyDescent="0.1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spans="1:28" ht="13" x14ac:dyDescent="0.15">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spans="1:28" ht="13" x14ac:dyDescent="0.15">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spans="1:28" ht="13" x14ac:dyDescent="0.15">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spans="1:28" ht="13" x14ac:dyDescent="0.15">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spans="1:28" ht="13" x14ac:dyDescent="0.15">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spans="1:28" ht="13" x14ac:dyDescent="0.15">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spans="1:28" ht="13" x14ac:dyDescent="0.15">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spans="1:28" ht="13" x14ac:dyDescent="0.15">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spans="1:28" ht="13" x14ac:dyDescent="0.15">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spans="1:28" ht="13" x14ac:dyDescent="0.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spans="1:28" ht="13" x14ac:dyDescent="0.15">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spans="1:28" ht="13" x14ac:dyDescent="0.15">
      <c r="A117" s="34"/>
      <c r="B117" s="35"/>
      <c r="C117" s="30"/>
      <c r="D117" s="30"/>
      <c r="E117" s="30"/>
      <c r="F117" s="30"/>
      <c r="G117" s="30"/>
      <c r="H117" s="31"/>
      <c r="I117" s="30"/>
      <c r="J117" s="32"/>
      <c r="K117" s="32"/>
      <c r="L117" s="33"/>
      <c r="M117" s="28"/>
      <c r="N117" s="28"/>
      <c r="O117" s="28"/>
      <c r="P117" s="28"/>
      <c r="Q117" s="28"/>
      <c r="R117" s="28"/>
      <c r="S117" s="28"/>
      <c r="T117" s="28"/>
      <c r="U117" s="28"/>
      <c r="V117" s="28"/>
      <c r="W117" s="28"/>
      <c r="X117" s="28"/>
      <c r="Y117" s="28"/>
      <c r="Z117" s="28"/>
      <c r="AA117" s="28"/>
      <c r="AB117" s="28"/>
    </row>
    <row r="118" spans="1:28" ht="13" x14ac:dyDescent="0.15">
      <c r="A118" s="34"/>
      <c r="B118" s="35"/>
      <c r="C118" s="30"/>
      <c r="D118" s="30"/>
      <c r="E118" s="30"/>
      <c r="F118" s="30"/>
      <c r="G118" s="30"/>
      <c r="H118" s="31"/>
      <c r="I118" s="30"/>
      <c r="J118" s="32"/>
      <c r="K118" s="32"/>
      <c r="L118" s="33"/>
      <c r="M118" s="28"/>
      <c r="N118" s="28"/>
      <c r="O118" s="28"/>
      <c r="P118" s="28"/>
      <c r="Q118" s="28"/>
      <c r="R118" s="28"/>
      <c r="S118" s="28"/>
      <c r="T118" s="28"/>
      <c r="U118" s="28"/>
      <c r="V118" s="28"/>
      <c r="W118" s="28"/>
      <c r="X118" s="28"/>
      <c r="Y118" s="28"/>
      <c r="Z118" s="28"/>
      <c r="AA118" s="28"/>
      <c r="AB118" s="28"/>
    </row>
    <row r="119" spans="1:28" ht="13" x14ac:dyDescent="0.15">
      <c r="A119" s="34"/>
      <c r="B119" s="35"/>
      <c r="C119" s="30"/>
      <c r="D119" s="30"/>
      <c r="E119" s="30"/>
      <c r="F119" s="30"/>
      <c r="G119" s="30"/>
      <c r="H119" s="31"/>
      <c r="I119" s="30"/>
      <c r="J119" s="32"/>
      <c r="K119" s="32"/>
      <c r="L119" s="33"/>
      <c r="M119" s="28"/>
      <c r="N119" s="28"/>
      <c r="O119" s="28"/>
      <c r="P119" s="28"/>
      <c r="Q119" s="28"/>
      <c r="R119" s="28"/>
      <c r="S119" s="28"/>
      <c r="T119" s="28"/>
      <c r="U119" s="28"/>
      <c r="V119" s="28"/>
      <c r="W119" s="28"/>
      <c r="X119" s="28"/>
      <c r="Y119" s="28"/>
      <c r="Z119" s="28"/>
      <c r="AA119" s="28"/>
      <c r="AB119" s="28"/>
    </row>
    <row r="120" spans="1:28" ht="13" x14ac:dyDescent="0.15">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spans="1:28" ht="13" x14ac:dyDescent="0.15">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spans="1:28" ht="13" x14ac:dyDescent="0.15">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spans="1:28" ht="13" x14ac:dyDescent="0.15">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spans="1:28" ht="13" x14ac:dyDescent="0.15">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spans="1:28" ht="13" x14ac:dyDescent="0.1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spans="1:28" ht="13" x14ac:dyDescent="0.15">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spans="1:28" ht="13" x14ac:dyDescent="0.15">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spans="1:28" ht="13" x14ac:dyDescent="0.15">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spans="1:28" ht="13" x14ac:dyDescent="0.15">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spans="1:28" ht="13" x14ac:dyDescent="0.15">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spans="1:28" ht="13" x14ac:dyDescent="0.15">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spans="1:28" ht="13" x14ac:dyDescent="0.15">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spans="1:28" ht="13" x14ac:dyDescent="0.15">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spans="1:28" ht="13" x14ac:dyDescent="0.15">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spans="1:28" ht="13" x14ac:dyDescent="0.1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spans="1:28" ht="13" x14ac:dyDescent="0.15">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spans="1:28" ht="13" x14ac:dyDescent="0.15">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spans="1:28" ht="13" x14ac:dyDescent="0.15">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spans="1:28" ht="13" x14ac:dyDescent="0.15">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spans="1:28" ht="13" x14ac:dyDescent="0.15">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spans="1:28" ht="13" x14ac:dyDescent="0.15">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spans="1:28" ht="13" x14ac:dyDescent="0.15">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spans="1:28" ht="13" x14ac:dyDescent="0.15">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spans="1:28" ht="13" x14ac:dyDescent="0.15">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spans="1:28" ht="13" x14ac:dyDescent="0.1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spans="1:28" ht="13" x14ac:dyDescent="0.15">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spans="1:28" ht="13" x14ac:dyDescent="0.15">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spans="1:28" ht="13" x14ac:dyDescent="0.15">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spans="1:28" ht="13" x14ac:dyDescent="0.15">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spans="1:28" ht="13" x14ac:dyDescent="0.15">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spans="1:28" ht="13" x14ac:dyDescent="0.15">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spans="1:28" ht="13" x14ac:dyDescent="0.15">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spans="1:28" ht="13" x14ac:dyDescent="0.15">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spans="1:28" ht="13" x14ac:dyDescent="0.15">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spans="1:28" ht="13" x14ac:dyDescent="0.1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spans="1:28" ht="13" x14ac:dyDescent="0.15">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spans="1:28" ht="13" x14ac:dyDescent="0.15">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spans="1:28" ht="13" x14ac:dyDescent="0.15">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spans="1:28" ht="13" x14ac:dyDescent="0.15">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spans="1:28" ht="13" x14ac:dyDescent="0.15">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spans="1:28" ht="13" x14ac:dyDescent="0.15">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spans="1:28" ht="13" x14ac:dyDescent="0.15">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spans="1:28" ht="13" x14ac:dyDescent="0.15">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spans="1:28" ht="13" x14ac:dyDescent="0.15">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spans="1:28" ht="13" x14ac:dyDescent="0.1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spans="1:28" ht="13" x14ac:dyDescent="0.15">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spans="1:28" ht="13" x14ac:dyDescent="0.15">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spans="1:28" ht="13" x14ac:dyDescent="0.15">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spans="1:28" ht="13" x14ac:dyDescent="0.15">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spans="1:28" ht="13" x14ac:dyDescent="0.15">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spans="1:28" ht="13" x14ac:dyDescent="0.15">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spans="1:28" ht="13" x14ac:dyDescent="0.15">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spans="1:28" ht="13" x14ac:dyDescent="0.15">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spans="1:28" ht="13" x14ac:dyDescent="0.15">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spans="1:28" ht="13" x14ac:dyDescent="0.1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spans="1:28" ht="13" x14ac:dyDescent="0.15">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spans="1:28" ht="13" x14ac:dyDescent="0.15">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spans="1:28" ht="13" x14ac:dyDescent="0.15">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spans="1:28" ht="13" x14ac:dyDescent="0.15">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spans="1:28" ht="13" x14ac:dyDescent="0.15">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spans="1:28" ht="13" x14ac:dyDescent="0.15">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spans="1:28" ht="13" x14ac:dyDescent="0.15">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spans="1:28" ht="13" x14ac:dyDescent="0.15">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spans="1:28" ht="13" x14ac:dyDescent="0.15">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spans="1:28" ht="13" x14ac:dyDescent="0.1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spans="1:28" ht="13" x14ac:dyDescent="0.15">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spans="1:28" ht="13" x14ac:dyDescent="0.15">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spans="1:28" ht="13" x14ac:dyDescent="0.15">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spans="1:28" ht="13" x14ac:dyDescent="0.15">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spans="1:28" ht="13" x14ac:dyDescent="0.15">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spans="1:28" ht="13" x14ac:dyDescent="0.15">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spans="1:28" ht="13" x14ac:dyDescent="0.15">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spans="1:28" ht="13" x14ac:dyDescent="0.15">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spans="1:28" ht="13" x14ac:dyDescent="0.15">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spans="1:28" ht="13" x14ac:dyDescent="0.1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spans="1:28" ht="13" x14ac:dyDescent="0.15">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spans="1:28" ht="13" x14ac:dyDescent="0.15">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spans="1:28" ht="13" x14ac:dyDescent="0.15">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spans="1:28" ht="13" x14ac:dyDescent="0.15">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spans="1:28" ht="13" x14ac:dyDescent="0.15">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spans="1:28" ht="13" x14ac:dyDescent="0.15">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spans="1:28" ht="13" x14ac:dyDescent="0.15">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spans="1:28" ht="13" x14ac:dyDescent="0.15">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spans="1:28" ht="13" x14ac:dyDescent="0.15">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spans="1:28" ht="13" x14ac:dyDescent="0.1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spans="1:28" ht="13" x14ac:dyDescent="0.15">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spans="1:28" ht="13" x14ac:dyDescent="0.15">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spans="1:28" ht="13" x14ac:dyDescent="0.15">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spans="1:28" ht="13" x14ac:dyDescent="0.15">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spans="1:28" ht="13" x14ac:dyDescent="0.15">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spans="1:28" ht="13" x14ac:dyDescent="0.15">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spans="1:28" ht="13" x14ac:dyDescent="0.15">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spans="1:28" ht="13" x14ac:dyDescent="0.15">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spans="1:28" ht="13" x14ac:dyDescent="0.15">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spans="1:28" ht="13" x14ac:dyDescent="0.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spans="1:28" ht="13" x14ac:dyDescent="0.15">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spans="1:28" ht="13" x14ac:dyDescent="0.15">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spans="1:28" ht="13" x14ac:dyDescent="0.15">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spans="1:28" ht="13" x14ac:dyDescent="0.15">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spans="1:28" ht="13" x14ac:dyDescent="0.15">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spans="1:28" ht="13" x14ac:dyDescent="0.15">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spans="1:28" ht="13" x14ac:dyDescent="0.15">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spans="1:28" ht="13" x14ac:dyDescent="0.15">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spans="1:28" ht="13" x14ac:dyDescent="0.15">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spans="1:28" ht="13" x14ac:dyDescent="0.1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spans="1:28" ht="13" x14ac:dyDescent="0.15">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spans="1:28" ht="13" x14ac:dyDescent="0.15">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spans="1:28" ht="13" x14ac:dyDescent="0.15">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spans="1:28" ht="13" x14ac:dyDescent="0.15">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spans="1:28" ht="13" x14ac:dyDescent="0.15">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spans="1:28" ht="13" x14ac:dyDescent="0.15">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spans="1:28" ht="13" x14ac:dyDescent="0.15">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spans="1:28" ht="13" x14ac:dyDescent="0.15">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spans="1:28" ht="13" x14ac:dyDescent="0.15">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spans="1:28" ht="13" x14ac:dyDescent="0.1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spans="1:28" ht="13" x14ac:dyDescent="0.15">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spans="1:28" ht="13" x14ac:dyDescent="0.15">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spans="1:28" ht="13" x14ac:dyDescent="0.15">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spans="1:28" ht="13" x14ac:dyDescent="0.15">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spans="1:28" ht="13" x14ac:dyDescent="0.15">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spans="1:28" ht="13" x14ac:dyDescent="0.15">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spans="1:28" ht="13" x14ac:dyDescent="0.15">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spans="1:28" ht="13" x14ac:dyDescent="0.15">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spans="1:28" ht="13" x14ac:dyDescent="0.15">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spans="1:28" ht="13" x14ac:dyDescent="0.1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spans="1:28" ht="13" x14ac:dyDescent="0.15">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spans="1:28" ht="13" x14ac:dyDescent="0.15">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spans="1:28" ht="13" x14ac:dyDescent="0.15">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spans="1:28" ht="13" x14ac:dyDescent="0.15">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spans="1:28" ht="13" x14ac:dyDescent="0.15">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spans="1:28" ht="13" x14ac:dyDescent="0.15">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spans="1:28" ht="13" x14ac:dyDescent="0.15">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spans="1:28" ht="13" x14ac:dyDescent="0.15">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spans="1:28" ht="13" x14ac:dyDescent="0.15">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spans="1:28" ht="13" x14ac:dyDescent="0.1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spans="1:28" ht="13" x14ac:dyDescent="0.15">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spans="1:28" ht="13" x14ac:dyDescent="0.15">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spans="1:28" ht="13" x14ac:dyDescent="0.15">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spans="1:28" ht="13" x14ac:dyDescent="0.15">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spans="1:28" ht="13" x14ac:dyDescent="0.15">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spans="1:28" ht="13" x14ac:dyDescent="0.15">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spans="1:28" ht="13" x14ac:dyDescent="0.15">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spans="1:28" ht="13" x14ac:dyDescent="0.15">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spans="1:28" ht="13" x14ac:dyDescent="0.15">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spans="1:28" ht="13" x14ac:dyDescent="0.1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spans="1:28" ht="13" x14ac:dyDescent="0.15">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spans="1:28" ht="13" x14ac:dyDescent="0.15">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spans="1:28" ht="13" x14ac:dyDescent="0.15">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spans="1:28" ht="13" x14ac:dyDescent="0.15">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spans="1:28" ht="13" x14ac:dyDescent="0.15">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spans="1:28" ht="13" x14ac:dyDescent="0.15">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spans="1:28" ht="13" x14ac:dyDescent="0.15">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spans="1:28" ht="13" x14ac:dyDescent="0.15">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spans="1:28" ht="13" x14ac:dyDescent="0.15">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spans="1:28" ht="13" x14ac:dyDescent="0.1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spans="1:28" ht="13" x14ac:dyDescent="0.15">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spans="1:28" ht="13" x14ac:dyDescent="0.15">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spans="1:28" ht="13" x14ac:dyDescent="0.15">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spans="1:28" ht="13" x14ac:dyDescent="0.15">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spans="1:28" ht="13" x14ac:dyDescent="0.15">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spans="1:28" ht="13" x14ac:dyDescent="0.15">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spans="1:28" ht="13" x14ac:dyDescent="0.15">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spans="1:28" ht="13" x14ac:dyDescent="0.15">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spans="1:28" ht="13" x14ac:dyDescent="0.15">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spans="1:28" ht="13" x14ac:dyDescent="0.1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spans="1:28" ht="13" x14ac:dyDescent="0.15">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spans="1:28" ht="13" x14ac:dyDescent="0.15">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spans="1:28" ht="13" x14ac:dyDescent="0.15">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spans="1:28" ht="13" x14ac:dyDescent="0.15">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spans="1:28" ht="13" x14ac:dyDescent="0.15">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spans="1:28" ht="13" x14ac:dyDescent="0.15">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spans="1:28" ht="13" x14ac:dyDescent="0.15">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spans="1:28" ht="13" x14ac:dyDescent="0.15">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spans="1:28" ht="13" x14ac:dyDescent="0.15">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spans="1:28" ht="13" x14ac:dyDescent="0.1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spans="1:28" ht="13" x14ac:dyDescent="0.15">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spans="1:28" ht="13" x14ac:dyDescent="0.15">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spans="1:28" ht="13" x14ac:dyDescent="0.15">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spans="1:28" ht="13" x14ac:dyDescent="0.15">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spans="1:28" ht="13" x14ac:dyDescent="0.15">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spans="1:28" ht="13" x14ac:dyDescent="0.15">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spans="1:28" ht="13" x14ac:dyDescent="0.15">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spans="1:28" ht="13" x14ac:dyDescent="0.15">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spans="1:28" ht="13" x14ac:dyDescent="0.15">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spans="1:28" ht="13" x14ac:dyDescent="0.1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spans="1:28" ht="13" x14ac:dyDescent="0.15">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spans="1:28" ht="13" x14ac:dyDescent="0.15">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spans="1:28" ht="13" x14ac:dyDescent="0.15">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spans="1:28" ht="13" x14ac:dyDescent="0.15">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spans="1:28" ht="13" x14ac:dyDescent="0.15">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spans="1:28" ht="13" x14ac:dyDescent="0.15">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spans="1:28" ht="13" x14ac:dyDescent="0.15">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spans="1:28" ht="13" x14ac:dyDescent="0.15">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spans="1:28" ht="13" x14ac:dyDescent="0.15">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spans="1:28" ht="13" x14ac:dyDescent="0.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spans="1:28" ht="13" x14ac:dyDescent="0.15">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spans="1:28" ht="13" x14ac:dyDescent="0.15">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spans="1:28" ht="13" x14ac:dyDescent="0.15">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spans="1:28" ht="13" x14ac:dyDescent="0.15">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spans="1:28" ht="13" x14ac:dyDescent="0.15">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spans="1:28" ht="13" x14ac:dyDescent="0.15">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spans="1:28" ht="13" x14ac:dyDescent="0.15">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spans="1:28" ht="13" x14ac:dyDescent="0.15">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spans="1:28" ht="13" x14ac:dyDescent="0.15">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spans="1:28" ht="13" x14ac:dyDescent="0.1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spans="1:28" ht="13" x14ac:dyDescent="0.15">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spans="1:28" ht="13" x14ac:dyDescent="0.15">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spans="1:28" ht="13" x14ac:dyDescent="0.15">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spans="1:28" ht="13" x14ac:dyDescent="0.15">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spans="1:28" ht="13" x14ac:dyDescent="0.15">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spans="1:28" ht="13" x14ac:dyDescent="0.15">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spans="1:28" ht="13" x14ac:dyDescent="0.15">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spans="1:28" ht="13" x14ac:dyDescent="0.15">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spans="1:28" ht="13" x14ac:dyDescent="0.15">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spans="1:28" ht="13" x14ac:dyDescent="0.1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spans="1:28" ht="13" x14ac:dyDescent="0.15">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spans="1:28" ht="13" x14ac:dyDescent="0.15">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spans="1:28" ht="13" x14ac:dyDescent="0.15">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spans="1:28" ht="13" x14ac:dyDescent="0.15">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spans="1:28" ht="13" x14ac:dyDescent="0.15">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spans="1:28" ht="13" x14ac:dyDescent="0.15">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spans="1:28" ht="13" x14ac:dyDescent="0.15">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spans="1:28" ht="13" x14ac:dyDescent="0.15">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spans="1:28" ht="13" x14ac:dyDescent="0.15">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spans="1:28" ht="13" x14ac:dyDescent="0.1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spans="1:28" ht="13" x14ac:dyDescent="0.15">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spans="1:28" ht="13" x14ac:dyDescent="0.15">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spans="1:28" ht="13" x14ac:dyDescent="0.15">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spans="1:28" ht="13" x14ac:dyDescent="0.15">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spans="1:28" ht="13" x14ac:dyDescent="0.15">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spans="1:28" ht="13" x14ac:dyDescent="0.15">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spans="1:28" ht="13" x14ac:dyDescent="0.15">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spans="1:28" ht="13" x14ac:dyDescent="0.15">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spans="1:28" ht="13" x14ac:dyDescent="0.15">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spans="1:28" ht="13" x14ac:dyDescent="0.1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spans="1:28" ht="13" x14ac:dyDescent="0.15">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spans="1:28" ht="13" x14ac:dyDescent="0.15">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spans="1:28" ht="13" x14ac:dyDescent="0.15">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spans="1:28" ht="13" x14ac:dyDescent="0.15">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spans="1:28" ht="13" x14ac:dyDescent="0.15">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spans="1:28" ht="13" x14ac:dyDescent="0.15">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spans="1:28" ht="13" x14ac:dyDescent="0.15">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spans="1:28" ht="13" x14ac:dyDescent="0.15">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spans="1:28" ht="13" x14ac:dyDescent="0.15">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spans="1:28" ht="13" x14ac:dyDescent="0.1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spans="1:28" ht="13" x14ac:dyDescent="0.15">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spans="1:28" ht="13" x14ac:dyDescent="0.15">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spans="1:28" ht="13" x14ac:dyDescent="0.15">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spans="1:28" ht="13" x14ac:dyDescent="0.15">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spans="1:28" ht="13" x14ac:dyDescent="0.15">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spans="1:28" ht="13" x14ac:dyDescent="0.15">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spans="1:28" ht="13" x14ac:dyDescent="0.15">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spans="1:28" ht="13" x14ac:dyDescent="0.15">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spans="1:28" ht="13" x14ac:dyDescent="0.15">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spans="1:28" ht="13" x14ac:dyDescent="0.1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spans="1:28" ht="13" x14ac:dyDescent="0.15">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spans="1:28" ht="13" x14ac:dyDescent="0.15">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spans="1:28" ht="13" x14ac:dyDescent="0.15">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spans="1:28" ht="13" x14ac:dyDescent="0.15">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spans="1:28" ht="13" x14ac:dyDescent="0.15">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spans="1:28" ht="13" x14ac:dyDescent="0.15">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spans="1:28" ht="13" x14ac:dyDescent="0.15">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spans="1:28" ht="13" x14ac:dyDescent="0.15">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spans="1:28" ht="13" x14ac:dyDescent="0.15">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spans="1:28" ht="13" x14ac:dyDescent="0.1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spans="1:28" ht="13" x14ac:dyDescent="0.15">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spans="1:28" ht="13" x14ac:dyDescent="0.15">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spans="1:28" ht="13" x14ac:dyDescent="0.15">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spans="1:28" ht="13" x14ac:dyDescent="0.15">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spans="1:28" ht="13" x14ac:dyDescent="0.15">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spans="1:28" ht="13" x14ac:dyDescent="0.15">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spans="1:28" ht="13" x14ac:dyDescent="0.15">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spans="1:28" ht="13" x14ac:dyDescent="0.15">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spans="1:28" ht="13" x14ac:dyDescent="0.15">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spans="1:28" ht="13" x14ac:dyDescent="0.1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spans="1:28" ht="13" x14ac:dyDescent="0.15">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spans="1:28" ht="13" x14ac:dyDescent="0.15">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spans="1:28" ht="13" x14ac:dyDescent="0.15">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spans="1:28" ht="13" x14ac:dyDescent="0.15">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spans="1:28" ht="13" x14ac:dyDescent="0.15">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spans="1:28" ht="13" x14ac:dyDescent="0.15">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spans="1:28" ht="13" x14ac:dyDescent="0.15">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spans="1:28" ht="13" x14ac:dyDescent="0.15">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spans="1:28" ht="13" x14ac:dyDescent="0.15">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spans="1:28" ht="13" x14ac:dyDescent="0.1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spans="1:28" ht="13" x14ac:dyDescent="0.15">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spans="1:28" ht="13" x14ac:dyDescent="0.15">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spans="1:28" ht="13" x14ac:dyDescent="0.15">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spans="1:28" ht="13" x14ac:dyDescent="0.15">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spans="1:28" ht="13" x14ac:dyDescent="0.15">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spans="1:28" ht="13" x14ac:dyDescent="0.15">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spans="1:28" ht="13" x14ac:dyDescent="0.15">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spans="1:28" ht="13" x14ac:dyDescent="0.15">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spans="1:28" ht="13" x14ac:dyDescent="0.15">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spans="1:28" ht="13" x14ac:dyDescent="0.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spans="1:28" ht="13" x14ac:dyDescent="0.15">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spans="1:28" ht="13" x14ac:dyDescent="0.15">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spans="1:28" ht="13" x14ac:dyDescent="0.15">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spans="1:28" ht="13" x14ac:dyDescent="0.15">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spans="1:28" ht="13" x14ac:dyDescent="0.15">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spans="1:28" ht="13" x14ac:dyDescent="0.15">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spans="1:28" ht="13" x14ac:dyDescent="0.15">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spans="1:28" ht="13" x14ac:dyDescent="0.15">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spans="1:28" ht="13" x14ac:dyDescent="0.15">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spans="1:28" ht="13" x14ac:dyDescent="0.1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spans="1:28" ht="13" x14ac:dyDescent="0.15">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spans="1:28" ht="13" x14ac:dyDescent="0.15">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spans="1:28" ht="13" x14ac:dyDescent="0.15">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spans="1:28" ht="13" x14ac:dyDescent="0.15">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spans="1:28" ht="13" x14ac:dyDescent="0.15">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spans="1:28" ht="13" x14ac:dyDescent="0.15">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spans="1:28" ht="13" x14ac:dyDescent="0.15">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spans="1:28" ht="13" x14ac:dyDescent="0.15">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spans="1:28" ht="13" x14ac:dyDescent="0.15">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spans="1:28" ht="13" x14ac:dyDescent="0.1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spans="1:28" ht="13" x14ac:dyDescent="0.15">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spans="1:28" ht="13" x14ac:dyDescent="0.15">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spans="1:28" ht="13" x14ac:dyDescent="0.15">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spans="1:28" ht="13" x14ac:dyDescent="0.15">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spans="1:28" ht="13" x14ac:dyDescent="0.15">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spans="1:28" ht="13" x14ac:dyDescent="0.15">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spans="1:28" ht="13" x14ac:dyDescent="0.15">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spans="1:28" ht="13" x14ac:dyDescent="0.15">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spans="1:28" ht="13" x14ac:dyDescent="0.15">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spans="1:28" ht="13" x14ac:dyDescent="0.1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spans="1:28" ht="13" x14ac:dyDescent="0.15">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spans="1:28" ht="13" x14ac:dyDescent="0.15">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spans="1:28" ht="13" x14ac:dyDescent="0.15">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spans="1:28" ht="13" x14ac:dyDescent="0.15">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spans="1:28" ht="13" x14ac:dyDescent="0.15">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spans="1:28" ht="13" x14ac:dyDescent="0.15">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spans="1:28" ht="13" x14ac:dyDescent="0.15">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spans="1:28" ht="13" x14ac:dyDescent="0.15">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spans="1:28" ht="13" x14ac:dyDescent="0.15">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spans="1:28" ht="13" x14ac:dyDescent="0.1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spans="1:28" ht="13" x14ac:dyDescent="0.15">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spans="1:28" ht="13" x14ac:dyDescent="0.15">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spans="1:28" ht="13" x14ac:dyDescent="0.15">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spans="1:28" ht="13" x14ac:dyDescent="0.15">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spans="1:28" ht="13" x14ac:dyDescent="0.15">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spans="1:28" ht="13" x14ac:dyDescent="0.15">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spans="1:28" ht="13" x14ac:dyDescent="0.15">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spans="1:28" ht="13" x14ac:dyDescent="0.15">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spans="1:28" ht="13" x14ac:dyDescent="0.15">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spans="1:28" ht="13" x14ac:dyDescent="0.1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spans="1:28" ht="13" x14ac:dyDescent="0.15">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spans="1:28" ht="13" x14ac:dyDescent="0.15">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spans="1:28" ht="13" x14ac:dyDescent="0.15">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spans="1:28" ht="13" x14ac:dyDescent="0.15">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spans="1:28" ht="13" x14ac:dyDescent="0.15">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spans="1:28" ht="13" x14ac:dyDescent="0.15">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spans="1:28" ht="13" x14ac:dyDescent="0.15">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spans="1:28" ht="13" x14ac:dyDescent="0.15">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spans="1:28" ht="13" x14ac:dyDescent="0.15">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spans="1:28" ht="13" x14ac:dyDescent="0.1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spans="1:28" ht="13" x14ac:dyDescent="0.15">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spans="1:28" ht="13" x14ac:dyDescent="0.15">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spans="1:28" ht="13" x14ac:dyDescent="0.15">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spans="1:28" ht="13" x14ac:dyDescent="0.15">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spans="1:28" ht="13" x14ac:dyDescent="0.15">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spans="1:28" ht="13" x14ac:dyDescent="0.15">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spans="1:28" ht="13" x14ac:dyDescent="0.15">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spans="1:28" ht="13" x14ac:dyDescent="0.15">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spans="1:28" ht="13" x14ac:dyDescent="0.15">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spans="1:28" ht="13" x14ac:dyDescent="0.1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spans="1:28" ht="13" x14ac:dyDescent="0.15">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spans="1:28" ht="13" x14ac:dyDescent="0.15">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spans="1:28" ht="13" x14ac:dyDescent="0.15">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spans="1:28" ht="13" x14ac:dyDescent="0.15">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spans="1:28" ht="13" x14ac:dyDescent="0.15">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spans="1:28" ht="13" x14ac:dyDescent="0.15">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spans="1:28" ht="13" x14ac:dyDescent="0.15">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spans="1:28" ht="13" x14ac:dyDescent="0.15">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spans="1:28" ht="13" x14ac:dyDescent="0.15">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spans="1:28" ht="13" x14ac:dyDescent="0.1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spans="1:28" ht="13" x14ac:dyDescent="0.15">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spans="1:28" ht="13" x14ac:dyDescent="0.15">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spans="1:28" ht="13" x14ac:dyDescent="0.15">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spans="1:28" ht="13" x14ac:dyDescent="0.15">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spans="1:28" ht="13" x14ac:dyDescent="0.15">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spans="1:28" ht="13" x14ac:dyDescent="0.15">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spans="1:28" ht="13" x14ac:dyDescent="0.15">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spans="1:28" ht="13" x14ac:dyDescent="0.15">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spans="1:28" ht="13" x14ac:dyDescent="0.15">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spans="1:28" ht="13" x14ac:dyDescent="0.1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spans="1:28" ht="13" x14ac:dyDescent="0.15">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spans="1:28" ht="13" x14ac:dyDescent="0.15">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spans="1:28" ht="13" x14ac:dyDescent="0.15">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spans="1:28" ht="13" x14ac:dyDescent="0.15">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spans="1:28" ht="13" x14ac:dyDescent="0.15">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spans="1:28" ht="13" x14ac:dyDescent="0.15">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spans="1:28" ht="13" x14ac:dyDescent="0.15">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spans="1:28" ht="13" x14ac:dyDescent="0.15">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spans="1:28" ht="13" x14ac:dyDescent="0.15">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spans="1:28" ht="13" x14ac:dyDescent="0.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spans="1:28" ht="13" x14ac:dyDescent="0.15">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spans="1:28" ht="13" x14ac:dyDescent="0.15">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spans="1:28" ht="13" x14ac:dyDescent="0.15">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spans="1:28" ht="13" x14ac:dyDescent="0.15">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spans="1:28" ht="13" x14ac:dyDescent="0.15">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spans="1:28" ht="13" x14ac:dyDescent="0.15">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spans="1:28" ht="13" x14ac:dyDescent="0.15">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spans="1:28" ht="13" x14ac:dyDescent="0.15">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spans="1:28" ht="13" x14ac:dyDescent="0.15">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spans="1:28" ht="13" x14ac:dyDescent="0.1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spans="1:28" ht="13" x14ac:dyDescent="0.15">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spans="1:28" ht="13" x14ac:dyDescent="0.15">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spans="1:28" ht="13" x14ac:dyDescent="0.15">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spans="1:28" ht="13" x14ac:dyDescent="0.15">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spans="1:28" ht="13" x14ac:dyDescent="0.15">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spans="1:28" ht="13" x14ac:dyDescent="0.15">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spans="1:28" ht="13" x14ac:dyDescent="0.15">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spans="1:28" ht="13" x14ac:dyDescent="0.15">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spans="1:28" ht="13" x14ac:dyDescent="0.15">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spans="1:28" ht="13" x14ac:dyDescent="0.1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spans="1:28" ht="13" x14ac:dyDescent="0.15">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spans="1:28" ht="13" x14ac:dyDescent="0.15">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spans="1:28" ht="13" x14ac:dyDescent="0.15">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spans="1:28" ht="13" x14ac:dyDescent="0.15">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spans="1:28" ht="13" x14ac:dyDescent="0.15">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spans="1:28" ht="13" x14ac:dyDescent="0.15">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spans="1:28" ht="13" x14ac:dyDescent="0.15">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spans="1:28" ht="13" x14ac:dyDescent="0.15">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spans="1:28" ht="13" x14ac:dyDescent="0.15">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spans="1:28" ht="13" x14ac:dyDescent="0.1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spans="1:28" ht="13" x14ac:dyDescent="0.15">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spans="1:28" ht="13" x14ac:dyDescent="0.15">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spans="1:28" ht="13" x14ac:dyDescent="0.15">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spans="1:28" ht="13" x14ac:dyDescent="0.15">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spans="1:28" ht="13" x14ac:dyDescent="0.15">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spans="1:28" ht="13" x14ac:dyDescent="0.15">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spans="1:28" ht="13" x14ac:dyDescent="0.15">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spans="1:28" ht="13" x14ac:dyDescent="0.15">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spans="1:28" ht="13" x14ac:dyDescent="0.15">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spans="1:28" ht="13" x14ac:dyDescent="0.1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spans="1:28" ht="13" x14ac:dyDescent="0.15">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spans="1:28" ht="13" x14ac:dyDescent="0.15">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spans="1:28" ht="13" x14ac:dyDescent="0.15">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spans="1:28" ht="13" x14ac:dyDescent="0.15">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spans="1:28" ht="13" x14ac:dyDescent="0.15">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spans="1:28" ht="13" x14ac:dyDescent="0.15">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spans="1:28" ht="13" x14ac:dyDescent="0.15">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spans="1:28" ht="13" x14ac:dyDescent="0.15">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spans="1:28" ht="13" x14ac:dyDescent="0.15">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spans="1:28" ht="13" x14ac:dyDescent="0.1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spans="1:28" ht="13" x14ac:dyDescent="0.15">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spans="1:28" ht="13" x14ac:dyDescent="0.15">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spans="1:28" ht="13" x14ac:dyDescent="0.15">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spans="1:28" ht="13" x14ac:dyDescent="0.15">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spans="1:28" ht="13" x14ac:dyDescent="0.15">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spans="1:28" ht="13" x14ac:dyDescent="0.15">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spans="1:28" ht="13" x14ac:dyDescent="0.15">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spans="1:28" ht="13" x14ac:dyDescent="0.15">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spans="1:28" ht="13" x14ac:dyDescent="0.15">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spans="1:28" ht="13" x14ac:dyDescent="0.1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spans="1:28" ht="13" x14ac:dyDescent="0.15">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spans="1:28" ht="13" x14ac:dyDescent="0.15">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spans="1:28" ht="13" x14ac:dyDescent="0.15">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spans="1:28" ht="13" x14ac:dyDescent="0.15">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spans="1:28" ht="13" x14ac:dyDescent="0.15">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spans="1:28" ht="13" x14ac:dyDescent="0.15">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spans="1:28" ht="13" x14ac:dyDescent="0.15">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spans="1:28" ht="13" x14ac:dyDescent="0.15">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spans="1:28" ht="13" x14ac:dyDescent="0.15">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spans="1:28" ht="13" x14ac:dyDescent="0.1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spans="1:28" ht="13" x14ac:dyDescent="0.15">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spans="1:28" ht="13" x14ac:dyDescent="0.15">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spans="1:28" ht="13" x14ac:dyDescent="0.15">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spans="1:28" ht="13" x14ac:dyDescent="0.15">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spans="1:28" ht="13" x14ac:dyDescent="0.15">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spans="1:28" ht="13" x14ac:dyDescent="0.15">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spans="1:28" ht="13" x14ac:dyDescent="0.15">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spans="1:28" ht="13" x14ac:dyDescent="0.15">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spans="1:28" ht="13" x14ac:dyDescent="0.15">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spans="1:28" ht="13" x14ac:dyDescent="0.1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spans="1:28" ht="13" x14ac:dyDescent="0.15">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spans="1:28" ht="13" x14ac:dyDescent="0.15">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spans="1:28" ht="13" x14ac:dyDescent="0.15">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spans="1:28" ht="13" x14ac:dyDescent="0.15">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spans="1:28" ht="13" x14ac:dyDescent="0.15">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spans="1:28" ht="13" x14ac:dyDescent="0.15">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spans="1:28" ht="13" x14ac:dyDescent="0.15">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spans="1:28" ht="13" x14ac:dyDescent="0.15">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spans="1:28" ht="13" x14ac:dyDescent="0.15">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spans="1:28" ht="13" x14ac:dyDescent="0.1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spans="1:28" ht="13" x14ac:dyDescent="0.15">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spans="1:28" ht="13" x14ac:dyDescent="0.15">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spans="1:28" ht="13" x14ac:dyDescent="0.15">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spans="1:28" ht="13" x14ac:dyDescent="0.15">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spans="1:28" ht="13" x14ac:dyDescent="0.15">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spans="1:28" ht="13" x14ac:dyDescent="0.15">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spans="1:28" ht="13" x14ac:dyDescent="0.15">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spans="1:28" ht="13" x14ac:dyDescent="0.15">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spans="1:28" ht="13" x14ac:dyDescent="0.15">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spans="1:28" ht="13" x14ac:dyDescent="0.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spans="1:28" ht="13" x14ac:dyDescent="0.15">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spans="1:28" ht="13" x14ac:dyDescent="0.15">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spans="1:28" ht="13" x14ac:dyDescent="0.15">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spans="1:28" ht="13" x14ac:dyDescent="0.15">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spans="1:28" ht="13" x14ac:dyDescent="0.15">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spans="1:28" ht="13" x14ac:dyDescent="0.15">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spans="1:28" ht="13" x14ac:dyDescent="0.15">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spans="1:28" ht="13" x14ac:dyDescent="0.15">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spans="1:28" ht="13" x14ac:dyDescent="0.15">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spans="1:28" ht="13" x14ac:dyDescent="0.1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spans="1:28" ht="13" x14ac:dyDescent="0.15">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spans="1:28" ht="13" x14ac:dyDescent="0.15">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spans="1:28" ht="13" x14ac:dyDescent="0.15">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spans="1:28" ht="13" x14ac:dyDescent="0.15">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spans="1:28" ht="13" x14ac:dyDescent="0.15">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spans="1:28" ht="13" x14ac:dyDescent="0.15">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spans="1:28" ht="13" x14ac:dyDescent="0.15">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spans="1:28" ht="13" x14ac:dyDescent="0.15">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spans="1:28" ht="13" x14ac:dyDescent="0.15">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spans="1:28" ht="13" x14ac:dyDescent="0.1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spans="1:28" ht="13" x14ac:dyDescent="0.15">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spans="1:28" ht="13" x14ac:dyDescent="0.15">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spans="1:28" ht="13" x14ac:dyDescent="0.15">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spans="1:28" ht="13" x14ac:dyDescent="0.15">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spans="1:28" ht="13" x14ac:dyDescent="0.15">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spans="1:28" ht="13" x14ac:dyDescent="0.15">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spans="1:28" ht="13" x14ac:dyDescent="0.15">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spans="1:28" ht="13" x14ac:dyDescent="0.15">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spans="1:28" ht="13" x14ac:dyDescent="0.15">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spans="1:28" ht="13" x14ac:dyDescent="0.1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spans="1:28" ht="13" x14ac:dyDescent="0.15">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spans="1:28" ht="13" x14ac:dyDescent="0.15">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spans="1:28" ht="13" x14ac:dyDescent="0.15">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spans="1:28" ht="13" x14ac:dyDescent="0.15">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spans="1:28" ht="13" x14ac:dyDescent="0.15">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spans="1:28" ht="13" x14ac:dyDescent="0.15">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spans="1:28" ht="13" x14ac:dyDescent="0.15">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spans="1:28" ht="13" x14ac:dyDescent="0.15">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spans="1:28" ht="13" x14ac:dyDescent="0.15">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spans="1:28" ht="13" x14ac:dyDescent="0.1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spans="1:28" ht="13" x14ac:dyDescent="0.15">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spans="1:28" ht="13" x14ac:dyDescent="0.15">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spans="1:28" ht="13" x14ac:dyDescent="0.15">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spans="1:28" ht="13" x14ac:dyDescent="0.15">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spans="1:28" ht="13" x14ac:dyDescent="0.15">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spans="1:28" ht="13" x14ac:dyDescent="0.15">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spans="1:28" ht="13" x14ac:dyDescent="0.15">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spans="1:28" ht="13" x14ac:dyDescent="0.15">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spans="1:28" ht="13" x14ac:dyDescent="0.15">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spans="1:28" ht="13" x14ac:dyDescent="0.1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spans="1:28" ht="13" x14ac:dyDescent="0.15">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spans="1:28" ht="13" x14ac:dyDescent="0.15">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spans="1:28" ht="13" x14ac:dyDescent="0.15">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spans="1:28" ht="13" x14ac:dyDescent="0.15">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spans="1:28" ht="13" x14ac:dyDescent="0.15">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spans="1:28" ht="13" x14ac:dyDescent="0.15">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spans="1:28" ht="13" x14ac:dyDescent="0.15">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spans="1:28" ht="13" x14ac:dyDescent="0.15">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spans="1:28" ht="13" x14ac:dyDescent="0.15">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spans="1:28" ht="13" x14ac:dyDescent="0.1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spans="1:28" ht="13" x14ac:dyDescent="0.15">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spans="1:28" ht="13" x14ac:dyDescent="0.15">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spans="1:28" ht="13" x14ac:dyDescent="0.15">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spans="1:28" ht="13" x14ac:dyDescent="0.15">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spans="1:28" ht="13" x14ac:dyDescent="0.15">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spans="1:28" ht="13" x14ac:dyDescent="0.15">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spans="1:28" ht="13" x14ac:dyDescent="0.15">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spans="1:28" ht="13" x14ac:dyDescent="0.15">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spans="1:28" ht="13" x14ac:dyDescent="0.15">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spans="1:28" ht="13" x14ac:dyDescent="0.1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spans="1:28" ht="13" x14ac:dyDescent="0.15">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spans="1:28" ht="13" x14ac:dyDescent="0.15">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spans="1:28" ht="13" x14ac:dyDescent="0.15">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spans="1:28" ht="13" x14ac:dyDescent="0.15">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spans="1:28" ht="13" x14ac:dyDescent="0.15">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spans="1:28" ht="13" x14ac:dyDescent="0.15">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spans="1:28" ht="13" x14ac:dyDescent="0.15">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spans="1:28" ht="13" x14ac:dyDescent="0.15">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spans="1:28" ht="13" x14ac:dyDescent="0.15">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spans="1:28" ht="13" x14ac:dyDescent="0.1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spans="1:28" ht="13" x14ac:dyDescent="0.15">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spans="1:28" ht="13" x14ac:dyDescent="0.15">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spans="1:28" ht="13" x14ac:dyDescent="0.15">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spans="1:28" ht="13" x14ac:dyDescent="0.15">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spans="1:28" ht="13" x14ac:dyDescent="0.15">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spans="1:28" ht="13" x14ac:dyDescent="0.15">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spans="1:28" ht="13" x14ac:dyDescent="0.15">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spans="1:28" ht="13" x14ac:dyDescent="0.15">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spans="1:28" ht="13" x14ac:dyDescent="0.15">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spans="1:28" ht="13" x14ac:dyDescent="0.1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spans="1:28" ht="13" x14ac:dyDescent="0.15">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spans="1:28" ht="13" x14ac:dyDescent="0.15">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spans="1:28" ht="13" x14ac:dyDescent="0.15">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spans="1:28" ht="13" x14ac:dyDescent="0.15">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spans="1:28" ht="13" x14ac:dyDescent="0.15">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spans="1:28" ht="13" x14ac:dyDescent="0.15">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spans="1:28" ht="13" x14ac:dyDescent="0.15">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spans="1:28" ht="13" x14ac:dyDescent="0.15">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spans="1:28" ht="13" x14ac:dyDescent="0.15">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spans="1:28" ht="13" x14ac:dyDescent="0.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spans="1:28" ht="13" x14ac:dyDescent="0.15">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spans="1:28" ht="13" x14ac:dyDescent="0.15">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spans="1:28" ht="13" x14ac:dyDescent="0.15">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spans="1:28" ht="13" x14ac:dyDescent="0.15">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spans="1:28" ht="13" x14ac:dyDescent="0.15">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spans="1:28" ht="13" x14ac:dyDescent="0.15">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spans="1:28" ht="13" x14ac:dyDescent="0.15">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spans="1:28" ht="13" x14ac:dyDescent="0.15">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spans="1:28" ht="13" x14ac:dyDescent="0.15">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spans="1:28" ht="13" x14ac:dyDescent="0.1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spans="1:28" ht="13" x14ac:dyDescent="0.15">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spans="1:28" ht="13" x14ac:dyDescent="0.15">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spans="1:28" ht="13" x14ac:dyDescent="0.15">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spans="1:28" ht="13" x14ac:dyDescent="0.15">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spans="1:28" ht="13" x14ac:dyDescent="0.15">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spans="1:28" ht="13" x14ac:dyDescent="0.15">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spans="1:28" ht="13" x14ac:dyDescent="0.15">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spans="1:28" ht="13" x14ac:dyDescent="0.15">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spans="1:28" ht="13" x14ac:dyDescent="0.15">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spans="1:28" ht="13" x14ac:dyDescent="0.1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spans="1:28" ht="13" x14ac:dyDescent="0.15">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spans="1:28" ht="13" x14ac:dyDescent="0.15">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spans="1:28" ht="13" x14ac:dyDescent="0.15">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spans="1:28" ht="13" x14ac:dyDescent="0.15">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spans="1:28" ht="13" x14ac:dyDescent="0.15">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spans="1:28" ht="13" x14ac:dyDescent="0.15">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spans="1:28" ht="13" x14ac:dyDescent="0.15">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spans="1:28" ht="13" x14ac:dyDescent="0.15">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spans="1:28" ht="13" x14ac:dyDescent="0.15">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spans="1:28" ht="13" x14ac:dyDescent="0.1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spans="1:28" ht="13" x14ac:dyDescent="0.15">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spans="1:28" ht="13" x14ac:dyDescent="0.15">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spans="1:28" ht="13" x14ac:dyDescent="0.15">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spans="1:28" ht="13" x14ac:dyDescent="0.15">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spans="1:28" ht="13" x14ac:dyDescent="0.15">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spans="1:28" ht="13" x14ac:dyDescent="0.15">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spans="1:28" ht="13" x14ac:dyDescent="0.15">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spans="1:28" ht="13" x14ac:dyDescent="0.15">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spans="1:28" ht="13" x14ac:dyDescent="0.15">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spans="1:28" ht="13" x14ac:dyDescent="0.1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spans="1:28" ht="13" x14ac:dyDescent="0.15">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spans="1:28" ht="13" x14ac:dyDescent="0.15">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spans="1:28" ht="13" x14ac:dyDescent="0.15">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spans="1:28" ht="13" x14ac:dyDescent="0.15">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spans="1:28" ht="13" x14ac:dyDescent="0.15">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spans="1:28" ht="13" x14ac:dyDescent="0.15">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spans="1:28" ht="13" x14ac:dyDescent="0.15">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spans="1:28" ht="13" x14ac:dyDescent="0.15">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spans="1:28" ht="13" x14ac:dyDescent="0.15">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spans="1:28" ht="13" x14ac:dyDescent="0.1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spans="1:28" ht="13" x14ac:dyDescent="0.15">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spans="1:28" ht="13" x14ac:dyDescent="0.15">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spans="1:28" ht="13" x14ac:dyDescent="0.15">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spans="1:28" ht="13" x14ac:dyDescent="0.15">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spans="1:28" ht="13" x14ac:dyDescent="0.15">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spans="1:28" ht="13" x14ac:dyDescent="0.15">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spans="1:28" ht="13" x14ac:dyDescent="0.15">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spans="1:28" ht="13" x14ac:dyDescent="0.15">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spans="1:28" ht="13" x14ac:dyDescent="0.15">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spans="1:28" ht="13" x14ac:dyDescent="0.1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spans="1:28" ht="13" x14ac:dyDescent="0.15">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spans="1:28" ht="13" x14ac:dyDescent="0.15">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spans="1:28" ht="13" x14ac:dyDescent="0.15">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spans="1:28" ht="13" x14ac:dyDescent="0.15">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spans="1:28" ht="13" x14ac:dyDescent="0.15">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spans="1:28" ht="13" x14ac:dyDescent="0.15">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spans="1:28" ht="13" x14ac:dyDescent="0.15">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spans="1:28" ht="13" x14ac:dyDescent="0.15">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spans="1:28" ht="13" x14ac:dyDescent="0.15">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spans="1:28" ht="13" x14ac:dyDescent="0.1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spans="1:28" ht="13" x14ac:dyDescent="0.15">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spans="1:28" ht="13" x14ac:dyDescent="0.15">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spans="1:28" ht="13" x14ac:dyDescent="0.15">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spans="1:28" ht="13" x14ac:dyDescent="0.15">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spans="1:28" ht="13" x14ac:dyDescent="0.15">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spans="1:28" ht="13" x14ac:dyDescent="0.15">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spans="1:28" ht="13" x14ac:dyDescent="0.15">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spans="1:28" ht="13" x14ac:dyDescent="0.15">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spans="1:28" ht="13" x14ac:dyDescent="0.15">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spans="1:28" ht="13" x14ac:dyDescent="0.1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spans="1:28" ht="13" x14ac:dyDescent="0.15">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spans="1:28" ht="13" x14ac:dyDescent="0.15">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spans="1:28" ht="13" x14ac:dyDescent="0.15">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spans="1:28" ht="13" x14ac:dyDescent="0.15">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spans="1:28" ht="13" x14ac:dyDescent="0.15">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spans="1:28" ht="13" x14ac:dyDescent="0.15">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spans="1:28" ht="13" x14ac:dyDescent="0.15">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spans="1:28" ht="13" x14ac:dyDescent="0.15">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spans="1:28" ht="13" x14ac:dyDescent="0.15">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spans="1:28" ht="13" x14ac:dyDescent="0.1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spans="1:28" ht="13" x14ac:dyDescent="0.15">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spans="1:28" ht="13" x14ac:dyDescent="0.15">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spans="1:28" ht="13" x14ac:dyDescent="0.15">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spans="1:28" ht="13" x14ac:dyDescent="0.15">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spans="1:28" ht="13" x14ac:dyDescent="0.15">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spans="1:28" ht="13" x14ac:dyDescent="0.15">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spans="1:28" ht="13" x14ac:dyDescent="0.15">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spans="1:28" ht="13" x14ac:dyDescent="0.15">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spans="1:28" ht="13" x14ac:dyDescent="0.15">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spans="1:28" ht="13" x14ac:dyDescent="0.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spans="1:28" ht="13" x14ac:dyDescent="0.15">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spans="1:28" ht="13" x14ac:dyDescent="0.15">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spans="1:28" ht="13" x14ac:dyDescent="0.15">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spans="1:28" ht="13" x14ac:dyDescent="0.15">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spans="1:28" ht="13" x14ac:dyDescent="0.15">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spans="1:28" ht="13" x14ac:dyDescent="0.15">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spans="1:28" ht="13" x14ac:dyDescent="0.15">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spans="1:28" ht="13" x14ac:dyDescent="0.15">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spans="1:28" ht="13" x14ac:dyDescent="0.15">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spans="1:28" ht="13" x14ac:dyDescent="0.1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spans="1:28" ht="13" x14ac:dyDescent="0.15">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spans="1:28" ht="13" x14ac:dyDescent="0.15">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spans="1:28" ht="13" x14ac:dyDescent="0.15">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spans="1:28" ht="13" x14ac:dyDescent="0.15">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spans="1:28" ht="13" x14ac:dyDescent="0.15">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spans="1:28" ht="13" x14ac:dyDescent="0.15">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spans="1:28" ht="13" x14ac:dyDescent="0.15">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spans="1:28" ht="13" x14ac:dyDescent="0.15">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spans="1:28" ht="13" x14ac:dyDescent="0.15">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spans="1:28" ht="13" x14ac:dyDescent="0.1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spans="1:28" ht="13" x14ac:dyDescent="0.15">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spans="1:28" ht="13" x14ac:dyDescent="0.15">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spans="1:28" ht="13" x14ac:dyDescent="0.15">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spans="1:28" ht="13" x14ac:dyDescent="0.15">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spans="1:28" ht="13" x14ac:dyDescent="0.15">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spans="1:28" ht="13" x14ac:dyDescent="0.15">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spans="1:28" ht="13" x14ac:dyDescent="0.15">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spans="1:28" ht="13" x14ac:dyDescent="0.15">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spans="1:28" ht="13" x14ac:dyDescent="0.15">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spans="1:28" ht="13" x14ac:dyDescent="0.1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spans="1:28" ht="13" x14ac:dyDescent="0.15">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spans="1:28" ht="13" x14ac:dyDescent="0.15">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spans="1:28" ht="13" x14ac:dyDescent="0.15">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spans="1:28" ht="13" x14ac:dyDescent="0.15">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spans="1:28" ht="13" x14ac:dyDescent="0.15">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spans="1:28" ht="13" x14ac:dyDescent="0.15">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spans="1:28" ht="13" x14ac:dyDescent="0.15">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spans="1:28" ht="13" x14ac:dyDescent="0.15">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spans="1:28" ht="13" x14ac:dyDescent="0.15">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spans="1:28" ht="13" x14ac:dyDescent="0.1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spans="1:28" ht="13" x14ac:dyDescent="0.15">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spans="1:28" ht="13" x14ac:dyDescent="0.15">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spans="1:28" ht="13" x14ac:dyDescent="0.15">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spans="1:28" ht="13" x14ac:dyDescent="0.15">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spans="1:28" ht="13" x14ac:dyDescent="0.15">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spans="1:28" ht="13" x14ac:dyDescent="0.15">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spans="1:28" ht="13" x14ac:dyDescent="0.15">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spans="1:28" ht="13" x14ac:dyDescent="0.15">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spans="1:28" ht="13" x14ac:dyDescent="0.15">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spans="1:28" ht="13" x14ac:dyDescent="0.1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spans="1:28" ht="13" x14ac:dyDescent="0.15">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spans="1:28" ht="13" x14ac:dyDescent="0.15">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spans="1:28" ht="13" x14ac:dyDescent="0.15">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spans="1:28" ht="13" x14ac:dyDescent="0.15">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spans="1:28" ht="13" x14ac:dyDescent="0.15">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spans="1:28" ht="13" x14ac:dyDescent="0.15">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spans="1:28" ht="13" x14ac:dyDescent="0.15">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spans="1:28" ht="13" x14ac:dyDescent="0.15">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spans="1:28" ht="13" x14ac:dyDescent="0.15">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spans="1:28" ht="13" x14ac:dyDescent="0.1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spans="1:28" ht="13" x14ac:dyDescent="0.15">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spans="1:28" ht="13" x14ac:dyDescent="0.15">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spans="1:28" ht="13" x14ac:dyDescent="0.15">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spans="1:28" ht="13" x14ac:dyDescent="0.15">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spans="1:28" ht="13" x14ac:dyDescent="0.15">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spans="1:28" ht="13" x14ac:dyDescent="0.15">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spans="1:28" ht="13" x14ac:dyDescent="0.15">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spans="1:28" ht="13" x14ac:dyDescent="0.15">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spans="1:28" ht="13" x14ac:dyDescent="0.15">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spans="1:28" ht="13" x14ac:dyDescent="0.1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spans="1:28" ht="13" x14ac:dyDescent="0.15">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spans="1:28" ht="13" x14ac:dyDescent="0.15">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spans="1:28" ht="13" x14ac:dyDescent="0.15">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spans="1:28" ht="13" x14ac:dyDescent="0.15">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spans="1:28" ht="13" x14ac:dyDescent="0.15">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spans="1:28" ht="13" x14ac:dyDescent="0.15">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spans="1:28" ht="13" x14ac:dyDescent="0.15">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spans="1:28" ht="13" x14ac:dyDescent="0.15">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spans="1:28" ht="13" x14ac:dyDescent="0.15">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spans="1:28" ht="13" x14ac:dyDescent="0.1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spans="1:28" ht="13" x14ac:dyDescent="0.15">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spans="1:28" ht="13" x14ac:dyDescent="0.15">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spans="1:28" ht="13" x14ac:dyDescent="0.15">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spans="1:28" ht="13" x14ac:dyDescent="0.15">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spans="1:28" ht="13" x14ac:dyDescent="0.15">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spans="1:28" ht="13" x14ac:dyDescent="0.15">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spans="1:28" ht="13" x14ac:dyDescent="0.15">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spans="1:28" ht="13" x14ac:dyDescent="0.15">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spans="1:28" ht="13" x14ac:dyDescent="0.15">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spans="1:28" ht="13" x14ac:dyDescent="0.1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spans="1:28" ht="13" x14ac:dyDescent="0.15">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spans="1:28" ht="13" x14ac:dyDescent="0.15">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spans="1:28" ht="13" x14ac:dyDescent="0.15">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spans="1:28" ht="13" x14ac:dyDescent="0.15">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spans="1:28" ht="13" x14ac:dyDescent="0.15">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spans="1:28" ht="13" x14ac:dyDescent="0.15">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spans="1:28" ht="13" x14ac:dyDescent="0.15">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spans="1:28" ht="13" x14ac:dyDescent="0.15">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spans="1:28" ht="13" x14ac:dyDescent="0.15">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spans="1:28" ht="13" x14ac:dyDescent="0.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spans="1:28" ht="13" x14ac:dyDescent="0.15">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spans="1:28" ht="13" x14ac:dyDescent="0.15">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spans="1:28" ht="13" x14ac:dyDescent="0.15">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spans="1:28" ht="13" x14ac:dyDescent="0.15">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spans="1:28" ht="13" x14ac:dyDescent="0.15">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spans="1:28" ht="13" x14ac:dyDescent="0.15">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spans="1:28" ht="13" x14ac:dyDescent="0.15">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spans="1:28" ht="13" x14ac:dyDescent="0.15">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spans="1:28" ht="13" x14ac:dyDescent="0.15">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spans="1:28" ht="13" x14ac:dyDescent="0.1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spans="1:28" ht="13" x14ac:dyDescent="0.15">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spans="1:28" ht="13" x14ac:dyDescent="0.15">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spans="1:28" ht="13" x14ac:dyDescent="0.15">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spans="1:28" ht="13" x14ac:dyDescent="0.15">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spans="1:28" ht="13" x14ac:dyDescent="0.15">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spans="1:28" ht="13" x14ac:dyDescent="0.15">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spans="1:28" ht="13" x14ac:dyDescent="0.15">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spans="1:28" ht="13" x14ac:dyDescent="0.15">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spans="1:28" ht="13" x14ac:dyDescent="0.15">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spans="1:28" ht="13" x14ac:dyDescent="0.1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spans="1:28" ht="13" x14ac:dyDescent="0.15">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spans="1:28" ht="13" x14ac:dyDescent="0.15">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spans="1:28" ht="13" x14ac:dyDescent="0.15">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spans="1:28" ht="13" x14ac:dyDescent="0.15">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spans="1:28" ht="13" x14ac:dyDescent="0.15">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spans="1:28" ht="13" x14ac:dyDescent="0.15">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spans="1:28" ht="13" x14ac:dyDescent="0.15">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spans="1:28" ht="13" x14ac:dyDescent="0.15">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spans="1:28" ht="13" x14ac:dyDescent="0.15">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spans="1:28" ht="13" x14ac:dyDescent="0.1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spans="1:28" ht="13" x14ac:dyDescent="0.15">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spans="1:28" ht="13" x14ac:dyDescent="0.15">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spans="1:28" ht="13" x14ac:dyDescent="0.15">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spans="1:28" ht="13" x14ac:dyDescent="0.15">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spans="1:28" ht="13" x14ac:dyDescent="0.15">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spans="1:28" ht="13" x14ac:dyDescent="0.15">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spans="1:28" ht="13" x14ac:dyDescent="0.15">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spans="1:28" ht="13" x14ac:dyDescent="0.15">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spans="1:28" ht="13" x14ac:dyDescent="0.15">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spans="1:28" ht="13" x14ac:dyDescent="0.1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spans="1:28" ht="13" x14ac:dyDescent="0.15">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spans="1:28" ht="13" x14ac:dyDescent="0.15">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spans="1:28" ht="13" x14ac:dyDescent="0.15">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spans="1:28" ht="13" x14ac:dyDescent="0.15">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spans="1:28" ht="13" x14ac:dyDescent="0.15">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spans="1:28" ht="13" x14ac:dyDescent="0.15">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spans="1:28" ht="13" x14ac:dyDescent="0.15">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spans="1:28" ht="13" x14ac:dyDescent="0.15">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spans="1:28" ht="13" x14ac:dyDescent="0.15">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spans="1:28" ht="13" x14ac:dyDescent="0.1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spans="1:28" ht="13" x14ac:dyDescent="0.15">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spans="1:28" ht="13" x14ac:dyDescent="0.15">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spans="1:28" ht="13" x14ac:dyDescent="0.15">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spans="1:28" ht="13" x14ac:dyDescent="0.15">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spans="1:28" ht="13" x14ac:dyDescent="0.15">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spans="1:28" ht="13" x14ac:dyDescent="0.15">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spans="1:28" ht="13" x14ac:dyDescent="0.15">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spans="1:28" ht="13" x14ac:dyDescent="0.15">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spans="1:28" ht="13" x14ac:dyDescent="0.15">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spans="1:28" ht="13" x14ac:dyDescent="0.1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spans="1:28" ht="13" x14ac:dyDescent="0.15">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spans="1:28" ht="13" x14ac:dyDescent="0.15">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spans="1:28" ht="13" x14ac:dyDescent="0.15">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spans="1:28" ht="13" x14ac:dyDescent="0.15">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spans="1:28" ht="13" x14ac:dyDescent="0.15">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spans="1:28" ht="13" x14ac:dyDescent="0.15">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spans="1:28" ht="13" x14ac:dyDescent="0.15">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spans="1:28" ht="13" x14ac:dyDescent="0.15">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spans="1:28" ht="13" x14ac:dyDescent="0.15">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spans="1:28" ht="13" x14ac:dyDescent="0.1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spans="1:28" ht="13" x14ac:dyDescent="0.15">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spans="1:28" ht="13" x14ac:dyDescent="0.15">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spans="1:28" ht="13" x14ac:dyDescent="0.15">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spans="1:28" ht="13" x14ac:dyDescent="0.15">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spans="1:28" ht="13" x14ac:dyDescent="0.15">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spans="1:28" ht="13" x14ac:dyDescent="0.15">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spans="1:28" ht="13" x14ac:dyDescent="0.15">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spans="1:28" ht="13" x14ac:dyDescent="0.15">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spans="1:28" ht="13" x14ac:dyDescent="0.15">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spans="1:28" ht="13" x14ac:dyDescent="0.1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spans="1:28" ht="13" x14ac:dyDescent="0.15">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spans="1:28" ht="13" x14ac:dyDescent="0.15">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spans="1:28" ht="13" x14ac:dyDescent="0.15">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spans="1:28" ht="13" x14ac:dyDescent="0.15">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spans="1:28" ht="13" x14ac:dyDescent="0.15">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spans="1:28" ht="13" x14ac:dyDescent="0.15">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spans="1:28" ht="13" x14ac:dyDescent="0.15">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spans="1:28" ht="13" x14ac:dyDescent="0.15">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spans="1:28" ht="13" x14ac:dyDescent="0.15">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spans="1:28" ht="13" x14ac:dyDescent="0.1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spans="1:28" ht="13" x14ac:dyDescent="0.15">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spans="1:28" ht="13" x14ac:dyDescent="0.15">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spans="1:28" ht="13" x14ac:dyDescent="0.15">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spans="1:28" ht="13" x14ac:dyDescent="0.15">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spans="1:28" ht="13" x14ac:dyDescent="0.15">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spans="1:28" ht="13" x14ac:dyDescent="0.15">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spans="1:28" ht="13" x14ac:dyDescent="0.15">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spans="1:28" ht="13" x14ac:dyDescent="0.15">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spans="1:28" ht="13" x14ac:dyDescent="0.15">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spans="1:28" ht="13" x14ac:dyDescent="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spans="1:28" ht="13" x14ac:dyDescent="0.15">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spans="1:28" ht="13" x14ac:dyDescent="0.15">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spans="1:28" ht="13" x14ac:dyDescent="0.15">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spans="1:28" ht="13" x14ac:dyDescent="0.15">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spans="1:28" ht="13" x14ac:dyDescent="0.15">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spans="1:28" ht="13" x14ac:dyDescent="0.15">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spans="1:28" ht="13" x14ac:dyDescent="0.15">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spans="1:28" ht="13" x14ac:dyDescent="0.15">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spans="1:28" ht="13" x14ac:dyDescent="0.15">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spans="1:28" ht="13" x14ac:dyDescent="0.1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spans="1:28" ht="13" x14ac:dyDescent="0.15">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spans="1:28" ht="13" x14ac:dyDescent="0.15">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spans="1:28" ht="13" x14ac:dyDescent="0.15">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4"/>
  <sheetViews>
    <sheetView workbookViewId="0"/>
  </sheetViews>
  <sheetFormatPr baseColWidth="10" defaultColWidth="14.5" defaultRowHeight="15.75" customHeight="1" x14ac:dyDescent="0.15"/>
  <cols>
    <col min="1" max="1" width="25.5" customWidth="1"/>
    <col min="2" max="12" width="19.5" customWidth="1"/>
  </cols>
  <sheetData>
    <row r="1" spans="1:28" ht="18" x14ac:dyDescent="0.2">
      <c r="A1" s="1"/>
      <c r="B1" s="2"/>
      <c r="C1" s="1"/>
      <c r="D1" s="3" t="s">
        <v>0</v>
      </c>
      <c r="E1" s="1"/>
      <c r="F1" s="1"/>
      <c r="G1" s="1"/>
      <c r="H1" s="4"/>
      <c r="I1" s="1"/>
      <c r="J1" s="5"/>
      <c r="K1" s="5"/>
      <c r="L1" s="6"/>
      <c r="M1" s="6"/>
      <c r="N1" s="6"/>
      <c r="O1" s="6"/>
      <c r="P1" s="6"/>
      <c r="Q1" s="6"/>
      <c r="R1" s="6"/>
      <c r="S1" s="6"/>
      <c r="T1" s="6"/>
      <c r="U1" s="6"/>
      <c r="V1" s="6"/>
      <c r="W1" s="6"/>
      <c r="X1" s="6"/>
      <c r="Y1" s="6"/>
      <c r="Z1" s="6"/>
      <c r="AA1" s="6"/>
      <c r="AB1" s="6"/>
    </row>
    <row r="2" spans="1:28" ht="15.75" customHeight="1" x14ac:dyDescent="0.15">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spans="1:28" ht="15.75" customHeight="1" x14ac:dyDescent="0.15">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spans="1:28" ht="15.75" customHeight="1" x14ac:dyDescent="0.15">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spans="1:28" ht="15.75" customHeight="1" x14ac:dyDescent="0.1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spans="1:28" ht="15.75" customHeight="1" x14ac:dyDescent="0.15">
      <c r="A6" s="1"/>
      <c r="B6" s="10"/>
      <c r="C6" s="10"/>
      <c r="D6" s="10"/>
      <c r="E6" s="11"/>
      <c r="F6" s="10"/>
      <c r="G6" s="11"/>
      <c r="H6" s="12"/>
      <c r="I6" s="1"/>
      <c r="J6" s="9"/>
      <c r="K6" s="5"/>
      <c r="L6" s="6"/>
      <c r="M6" s="6"/>
      <c r="N6" s="6"/>
      <c r="O6" s="6"/>
      <c r="P6" s="6"/>
      <c r="Q6" s="6"/>
      <c r="R6" s="6"/>
      <c r="S6" s="6"/>
      <c r="T6" s="6"/>
      <c r="U6" s="6"/>
      <c r="V6" s="6"/>
      <c r="W6" s="6"/>
      <c r="X6" s="6"/>
      <c r="Y6" s="6"/>
      <c r="Z6" s="6"/>
      <c r="AA6" s="6"/>
      <c r="AB6" s="6"/>
    </row>
    <row r="7" spans="1:28" ht="15.75" customHeight="1" x14ac:dyDescent="0.15">
      <c r="A7" s="16"/>
      <c r="B7" s="17"/>
      <c r="C7" s="17"/>
      <c r="D7" s="17"/>
      <c r="E7" s="17"/>
      <c r="F7" s="17"/>
      <c r="G7" s="17"/>
      <c r="H7" s="17"/>
      <c r="I7" s="1"/>
      <c r="J7" s="5"/>
      <c r="K7" s="5"/>
      <c r="L7" s="6"/>
      <c r="M7" s="6"/>
      <c r="N7" s="6"/>
      <c r="O7" s="6"/>
      <c r="P7" s="6"/>
      <c r="Q7" s="6"/>
      <c r="R7" s="6"/>
      <c r="S7" s="6"/>
      <c r="T7" s="6"/>
      <c r="U7" s="6"/>
      <c r="V7" s="6"/>
      <c r="W7" s="6"/>
      <c r="X7" s="6"/>
      <c r="Y7" s="6"/>
      <c r="Z7" s="6"/>
      <c r="AA7" s="6"/>
      <c r="AB7" s="6"/>
    </row>
    <row r="8" spans="1:28" ht="15.75" customHeight="1" x14ac:dyDescent="0.15">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spans="1:28" ht="15.75" customHeight="1" x14ac:dyDescent="0.15">
      <c r="A9" s="21" t="s">
        <v>1019</v>
      </c>
      <c r="B9" s="22" t="s">
        <v>1020</v>
      </c>
      <c r="C9" s="23" t="str">
        <f ca="1">IFERROR(__xludf.DUMMYFUNCTION("GOOGLETRANSLATE(B9, ""en"", ""fr"")"),"Mêlée")</f>
        <v>Mêlée</v>
      </c>
      <c r="D9" s="23" t="str">
        <f ca="1">IFERROR(__xludf.DUMMYFUNCTION("GOOGLETRANSLATE(B9, ""en"", ""es"")"),"Pelea confusa")</f>
        <v>Pelea confusa</v>
      </c>
      <c r="E9" s="23" t="str">
        <f ca="1">IFERROR(__xludf.DUMMYFUNCTION("GOOGLETRANSLATE(B9, ""en"", ""ru"")"),"Борьба")</f>
        <v>Борьба</v>
      </c>
      <c r="F9" s="23" t="str">
        <f ca="1">IFERROR(__xludf.DUMMYFUNCTION("GOOGLETRANSLATE(B9, ""en"", ""tr"")"),"Yakın dövüş")</f>
        <v>Yakın dövüş</v>
      </c>
      <c r="G9" s="23" t="str">
        <f ca="1">IFERROR(__xludf.DUMMYFUNCTION("GOOGLETRANSLATE(B9, ""en"", ""pt"")"),"Melee.")</f>
        <v>Melee.</v>
      </c>
      <c r="H9" s="24" t="str">
        <f ca="1">IFERROR(__xludf.DUMMYFUNCTION("GOOGLETRANSLATE(B9, ""en"", ""de"")"),"Nahkampf")</f>
        <v>Nahkampf</v>
      </c>
      <c r="I9" s="23" t="str">
        <f ca="1">IFERROR(__xludf.DUMMYFUNCTION("GOOGLETRANSLATE(B9, ""en"", ""pl"")"),"Bijatyka")</f>
        <v>Bijatyka</v>
      </c>
      <c r="J9" s="25" t="str">
        <f ca="1">IFERROR(__xludf.DUMMYFUNCTION("GOOGLETRANSLATE(B9, ""en"", ""zh"")"),"近战")</f>
        <v>近战</v>
      </c>
      <c r="K9" s="25" t="str">
        <f ca="1">IFERROR(__xludf.DUMMYFUNCTION("GOOGLETRANSLATE(B9, ""en"", ""vi"")"),"Melee.")</f>
        <v>Melee.</v>
      </c>
      <c r="L9" s="26" t="str">
        <f ca="1">IFERROR(__xludf.DUMMYFUNCTION("GOOGLETRANSLATE(B9, ""en"", ""hr"")"),"Gužva")</f>
        <v>Gužva</v>
      </c>
      <c r="M9" s="28"/>
      <c r="N9" s="28"/>
      <c r="O9" s="28"/>
      <c r="P9" s="28"/>
      <c r="Q9" s="28"/>
      <c r="R9" s="28"/>
      <c r="S9" s="28"/>
      <c r="T9" s="28"/>
      <c r="U9" s="28"/>
      <c r="V9" s="28"/>
      <c r="W9" s="28"/>
      <c r="X9" s="28"/>
      <c r="Y9" s="28"/>
      <c r="Z9" s="28"/>
      <c r="AA9" s="28"/>
      <c r="AB9" s="28"/>
    </row>
    <row r="10" spans="1:28" ht="15.75" customHeight="1" x14ac:dyDescent="0.15">
      <c r="A10" s="21" t="s">
        <v>1021</v>
      </c>
      <c r="B10" s="22" t="s">
        <v>1022</v>
      </c>
      <c r="C10" s="23" t="str">
        <f ca="1">IFERROR(__xludf.DUMMYFUNCTION("GOOGLETRANSLATE(B10,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0" s="23" t="str">
        <f ca="1">IFERROR(__xludf.DUMMYFUNCTION("GOOGLETRANSLATE(B10,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0" s="23" t="str">
        <f ca="1">IFERROR(__xludf.DUMMYFUNCTION("GOOGLETRANSLATE(B10,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0" s="23" t="str">
        <f ca="1">IFERROR(__xludf.DUMMYFUNCTION("GOOGLETRANSLATE(B10,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0" s="23" t="str">
        <f ca="1">IFERROR(__xludf.DUMMYFUNCTION("GOOGLETRANSLATE(B10,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0" s="24" t="str">
        <f ca="1">IFERROR(__xludf.DUMMYFUNCTION("GOOGLETRANSLATE(B10,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0" s="23" t="str">
        <f ca="1">IFERROR(__xludf.DUMMYFUNCTION("GOOGLETRANSLATE(B10,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0" s="25" t="str">
        <f ca="1">IFERROR(__xludf.DUMMYFUNCTION("GOOGLETRANSLATE(B10,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0" s="25" t="str">
        <f ca="1">IFERROR(__xludf.DUMMYFUNCTION("GOOGLETRANSLATE(B10,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0" s="26" t="str">
        <f ca="1">IFERROR(__xludf.DUMMYFUNCTION("GOOGLETRANSLATE(B10,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0" s="28"/>
      <c r="N10" s="28"/>
      <c r="O10" s="28"/>
      <c r="P10" s="28"/>
      <c r="Q10" s="28"/>
      <c r="R10" s="28"/>
      <c r="S10" s="28"/>
      <c r="T10" s="28"/>
      <c r="U10" s="28"/>
      <c r="V10" s="28"/>
      <c r="W10" s="28"/>
      <c r="X10" s="28"/>
      <c r="Y10" s="28"/>
      <c r="Z10" s="28"/>
      <c r="AA10" s="28"/>
      <c r="AB10" s="28"/>
    </row>
    <row r="11" spans="1:28" ht="15.75" customHeight="1" x14ac:dyDescent="0.15">
      <c r="A11" s="21" t="s">
        <v>1023</v>
      </c>
      <c r="B11" s="22" t="s">
        <v>1024</v>
      </c>
      <c r="C11" s="23" t="str">
        <f ca="1">IFERROR(__xludf.DUMMYFUNCTION("GOOGLETRANSLATE(B11, ""en"", ""fr"")"),"Rangé")</f>
        <v>Rangé</v>
      </c>
      <c r="D11" s="23" t="str">
        <f ca="1">IFERROR(__xludf.DUMMYFUNCTION("GOOGLETRANSLATE(B11, ""en"", ""es"")"),"Oscurecido")</f>
        <v>Oscurecido</v>
      </c>
      <c r="E11" s="23" t="str">
        <f ca="1">IFERROR(__xludf.DUMMYFUNCTION("GOOGLETRANSLATE(B11, ""en"", ""ru"")"),"Варьировал")</f>
        <v>Варьировал</v>
      </c>
      <c r="F11" s="23" t="str">
        <f ca="1">IFERROR(__xludf.DUMMYFUNCTION("GOOGLETRANSLATE(B11, ""en"", ""tr"")"),"Değişimli")</f>
        <v>Değişimli</v>
      </c>
      <c r="G11" s="23" t="str">
        <f ca="1">IFERROR(__xludf.DUMMYFUNCTION("GOOGLETRANSLATE(B11, ""en"", ""pt"")"),"Variou")</f>
        <v>Variou</v>
      </c>
      <c r="H11" s="24" t="str">
        <f ca="1">IFERROR(__xludf.DUMMYFUNCTION("GOOGLETRANSLATE(B11, ""en"", ""de"")"),"Langen")</f>
        <v>Langen</v>
      </c>
      <c r="I11" s="23" t="str">
        <f ca="1">IFERROR(__xludf.DUMMYFUNCTION("GOOGLETRANSLATE(B11, ""en"", ""pl"")"),"Wahał się")</f>
        <v>Wahał się</v>
      </c>
      <c r="J11" s="25" t="str">
        <f ca="1">IFERROR(__xludf.DUMMYFUNCTION("GOOGLETRANSLATE(B11, ""en"", ""zh"")"),"范围")</f>
        <v>范围</v>
      </c>
      <c r="K11" s="25" t="str">
        <f ca="1">IFERROR(__xludf.DUMMYFUNCTION("GOOGLETRANSLATE(B11, ""en"", ""vi"")"),"Ranged.")</f>
        <v>Ranged.</v>
      </c>
      <c r="L11" s="26" t="str">
        <f ca="1">IFERROR(__xludf.DUMMYFUNCTION("GOOGLETRANSLATE(B11, ""en"", ""hr"")"),"Kretao")</f>
        <v>Kretao</v>
      </c>
      <c r="M11" s="28"/>
      <c r="N11" s="28"/>
      <c r="O11" s="28"/>
      <c r="P11" s="28"/>
      <c r="Q11" s="28"/>
      <c r="R11" s="28"/>
      <c r="S11" s="28"/>
      <c r="T11" s="28"/>
      <c r="U11" s="28"/>
      <c r="V11" s="28"/>
      <c r="W11" s="28"/>
      <c r="X11" s="28"/>
      <c r="Y11" s="28"/>
      <c r="Z11" s="28"/>
      <c r="AA11" s="28"/>
      <c r="AB11" s="28"/>
    </row>
    <row r="12" spans="1:28" ht="15.75" customHeight="1" x14ac:dyDescent="0.15">
      <c r="A12" s="21" t="s">
        <v>1025</v>
      </c>
      <c r="B12" s="22" t="s">
        <v>1026</v>
      </c>
      <c r="C12" s="23" t="str">
        <f ca="1">IFERROR(__xludf.DUMMYFUNCTION("GOOGLETRANSLATE(B12,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2" s="23" t="str">
        <f ca="1">IFERROR(__xludf.DUMMYFUNCTION("GOOGLETRANSLATE(B12,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2" s="23" t="str">
        <f ca="1">IFERROR(__xludf.DUMMYFUNCTION("GOOGLETRANSLATE(B12,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2" s="23" t="str">
        <f ca="1">IFERROR(__xludf.DUMMYFUNCTION("GOOGLETRANSLATE(B12,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2" s="23" t="str">
        <f ca="1">IFERROR(__xludf.DUMMYFUNCTION("GOOGLETRANSLATE(B12,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2" s="24" t="str">
        <f ca="1">IFERROR(__xludf.DUMMYFUNCTION("GOOGLETRANSLATE(B12,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2" s="23" t="str">
        <f ca="1">IFERROR(__xludf.DUMMYFUNCTION("GOOGLETRANSLATE(B12,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2" s="25" t="str">
        <f ca="1">IFERROR(__xludf.DUMMYFUNCTION("GOOGLETRANSLATE(B12,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2" s="25" t="str">
        <f ca="1">IFERROR(__xludf.DUMMYFUNCTION("GOOGLETRANSLATE(B12,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2" s="26" t="str">
        <f ca="1">IFERROR(__xludf.DUMMYFUNCTION("GOOGLETRANSLATE(B12,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2" s="28"/>
      <c r="N12" s="28"/>
      <c r="O12" s="28"/>
      <c r="P12" s="28"/>
      <c r="Q12" s="28"/>
      <c r="R12" s="28"/>
      <c r="S12" s="28"/>
      <c r="T12" s="28"/>
      <c r="U12" s="28"/>
      <c r="V12" s="28"/>
      <c r="W12" s="28"/>
      <c r="X12" s="28"/>
      <c r="Y12" s="28"/>
      <c r="Z12" s="28"/>
      <c r="AA12" s="28"/>
      <c r="AB12" s="28"/>
    </row>
    <row r="13" spans="1:28" ht="15.75" customHeight="1" x14ac:dyDescent="0.15">
      <c r="A13" s="21" t="s">
        <v>1027</v>
      </c>
      <c r="B13" s="22" t="s">
        <v>1028</v>
      </c>
      <c r="C13" s="23" t="str">
        <f ca="1">IFERROR(__xludf.DUMMYFUNCTION("GOOGLETRANSLATE(B13, ""en"", ""fr"")"),"la magie")</f>
        <v>la magie</v>
      </c>
      <c r="D13" s="23" t="str">
        <f ca="1">IFERROR(__xludf.DUMMYFUNCTION("GOOGLETRANSLATE(B13, ""en"", ""es"")"),"magia")</f>
        <v>magia</v>
      </c>
      <c r="E13" s="23" t="str">
        <f ca="1">IFERROR(__xludf.DUMMYFUNCTION("GOOGLETRANSLATE(B13, ""en"", ""ru"")"),"Магия")</f>
        <v>Магия</v>
      </c>
      <c r="F13" s="23" t="str">
        <f ca="1">IFERROR(__xludf.DUMMYFUNCTION("GOOGLETRANSLATE(B13, ""en"", ""tr"")"),"büyü")</f>
        <v>büyü</v>
      </c>
      <c r="G13" s="23" t="str">
        <f ca="1">IFERROR(__xludf.DUMMYFUNCTION("GOOGLETRANSLATE(B13, ""en"", ""pt"")"),"Magia")</f>
        <v>Magia</v>
      </c>
      <c r="H13" s="24" t="str">
        <f ca="1">IFERROR(__xludf.DUMMYFUNCTION("GOOGLETRANSLATE(B13, ""en"", ""de"")"),"Magie")</f>
        <v>Magie</v>
      </c>
      <c r="I13" s="23" t="str">
        <f ca="1">IFERROR(__xludf.DUMMYFUNCTION("GOOGLETRANSLATE(B13, ""en"", ""pl"")"),"magia")</f>
        <v>magia</v>
      </c>
      <c r="J13" s="25" t="str">
        <f ca="1">IFERROR(__xludf.DUMMYFUNCTION("GOOGLETRANSLATE(B13, ""en"", ""zh"")"),"魔法")</f>
        <v>魔法</v>
      </c>
      <c r="K13" s="25" t="str">
        <f ca="1">IFERROR(__xludf.DUMMYFUNCTION("GOOGLETRANSLATE(B13, ""en"", ""vi"")"),"ảo thuật")</f>
        <v>ảo thuật</v>
      </c>
      <c r="L13" s="26" t="str">
        <f ca="1">IFERROR(__xludf.DUMMYFUNCTION("GOOGLETRANSLATE(B13, ""en"", ""hr"")"),"magija")</f>
        <v>magija</v>
      </c>
      <c r="M13" s="28"/>
      <c r="N13" s="28"/>
      <c r="O13" s="28"/>
      <c r="P13" s="28"/>
      <c r="Q13" s="28"/>
      <c r="R13" s="28"/>
      <c r="S13" s="28"/>
      <c r="T13" s="28"/>
      <c r="U13" s="28"/>
      <c r="V13" s="28"/>
      <c r="W13" s="28"/>
      <c r="X13" s="28"/>
      <c r="Y13" s="28"/>
      <c r="Z13" s="28"/>
      <c r="AA13" s="28"/>
      <c r="AB13" s="28"/>
    </row>
    <row r="14" spans="1:28" ht="15.75" customHeight="1" x14ac:dyDescent="0.15">
      <c r="A14" s="21" t="s">
        <v>1029</v>
      </c>
      <c r="B14" s="22" t="s">
        <v>1030</v>
      </c>
      <c r="C14" s="23" t="str">
        <f ca="1">IFERROR(__xludf.DUMMYFUNCTION("GOOGLETRANSLATE(B14,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4" s="23" t="str">
        <f ca="1">IFERROR(__xludf.DUMMYFUNCTION("GOOGLETRANSLATE(B14,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4" s="23" t="str">
        <f ca="1">IFERROR(__xludf.DUMMYFUNCTION("GOOGLETRANSLATE(B14,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4" s="23" t="str">
        <f ca="1">IFERROR(__xludf.DUMMYFUNCTION("GOOGLETRANSLATE(B14,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4" s="23" t="str">
        <f ca="1">IFERROR(__xludf.DUMMYFUNCTION("GOOGLETRANSLATE(B14,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4" s="24" t="str">
        <f ca="1">IFERROR(__xludf.DUMMYFUNCTION("GOOGLETRANSLATE(B14, ""en"", ""de"")"),"Ihre Effektivität mit magischen Waffen. Reduziert, wie viel Haltbarkeit magische Waffen verlieren, wenn sie verwendet werden. Verbessern Sie die Verwendung von magischen Gegenständen wie Mitarbeitern und Zauberbüchern.")</f>
        <v>Ihre Effektivität mit magischen Waffen. Reduziert, wie viel Haltbarkeit magische Waffen verlieren, wenn sie verwendet werden. Verbessern Sie die Verwendung von magischen Gegenständen wie Mitarbeitern und Zauberbüchern.</v>
      </c>
      <c r="I14" s="23" t="str">
        <f ca="1">IFERROR(__xludf.DUMMYFUNCTION("GOOGLETRANSLATE(B14,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4" s="25" t="str">
        <f ca="1">IFERROR(__xludf.DUMMYFUNCTION("GOOGLETRANSLATE(B14, ""en"", ""zh"")"),"你对魔法武器的效力。减少了使用时耐用的魔法武器减少了多少。使用员工和拼写书等魔法物品改善。")</f>
        <v>你对魔法武器的效力。减少了使用时耐用的魔法武器减少了多少。使用员工和拼写书等魔法物品改善。</v>
      </c>
      <c r="K14" s="25" t="str">
        <f ca="1">IFERROR(__xludf.DUMMYFUNCTION("GOOGLETRANSLATE(B14,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4" s="26" t="str">
        <f ca="1">IFERROR(__xludf.DUMMYFUNCTION("GOOGLETRANSLATE(B14,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4" s="28"/>
      <c r="N14" s="28"/>
      <c r="O14" s="28"/>
      <c r="P14" s="28"/>
      <c r="Q14" s="28"/>
      <c r="R14" s="28"/>
      <c r="S14" s="28"/>
      <c r="T14" s="28"/>
      <c r="U14" s="28"/>
      <c r="V14" s="28"/>
      <c r="W14" s="28"/>
      <c r="X14" s="28"/>
      <c r="Y14" s="28"/>
      <c r="Z14" s="28"/>
      <c r="AA14" s="28"/>
      <c r="AB14" s="28"/>
    </row>
    <row r="15" spans="1:28" ht="15.75" customHeight="1" x14ac:dyDescent="0.15">
      <c r="A15" s="21" t="s">
        <v>1031</v>
      </c>
      <c r="B15" s="22" t="s">
        <v>214</v>
      </c>
      <c r="C15" s="23" t="str">
        <f ca="1">IFERROR(__xludf.DUMMYFUNCTION("GOOGLETRANSLATE(B15, ""en"", ""fr"")"),"La cueillette")</f>
        <v>La cueillette</v>
      </c>
      <c r="D15" s="23" t="str">
        <f ca="1">IFERROR(__xludf.DUMMYFUNCTION("GOOGLETRANSLATE(B15, ""en"", ""es"")"),"Reunión")</f>
        <v>Reunión</v>
      </c>
      <c r="E15" s="23" t="str">
        <f ca="1">IFERROR(__xludf.DUMMYFUNCTION("GOOGLETRANSLATE(B15, ""en"", ""ru"")"),"Встреча")</f>
        <v>Встреча</v>
      </c>
      <c r="F15" s="23" t="str">
        <f ca="1">IFERROR(__xludf.DUMMYFUNCTION("GOOGLETRANSLATE(B15, ""en"", ""tr"")"),"Toplanma")</f>
        <v>Toplanma</v>
      </c>
      <c r="G15" s="23" t="str">
        <f ca="1">IFERROR(__xludf.DUMMYFUNCTION("GOOGLETRANSLATE(B15, ""en"", ""pt"")"),"Reunião")</f>
        <v>Reunião</v>
      </c>
      <c r="H15" s="24" t="str">
        <f ca="1">IFERROR(__xludf.DUMMYFUNCTION("GOOGLETRANSLATE(B15, ""en"", ""de"")"),"Sammeln")</f>
        <v>Sammeln</v>
      </c>
      <c r="I15" s="23" t="str">
        <f ca="1">IFERROR(__xludf.DUMMYFUNCTION("GOOGLETRANSLATE(B15, ""en"", ""pl"")"),"Zgromadzenie")</f>
        <v>Zgromadzenie</v>
      </c>
      <c r="J15" s="25" t="str">
        <f ca="1">IFERROR(__xludf.DUMMYFUNCTION("GOOGLETRANSLATE(B15, ""en"", ""zh"")"),"搜集")</f>
        <v>搜集</v>
      </c>
      <c r="K15" s="25" t="str">
        <f ca="1">IFERROR(__xludf.DUMMYFUNCTION("GOOGLETRANSLATE(B15, ""en"", ""vi"")"),"Thu thập")</f>
        <v>Thu thập</v>
      </c>
      <c r="L15" s="26" t="str">
        <f ca="1">IFERROR(__xludf.DUMMYFUNCTION("GOOGLETRANSLATE(B15, ""en"", ""hr"")"),"Prikupljanje")</f>
        <v>Prikupljanje</v>
      </c>
      <c r="M15" s="28"/>
      <c r="N15" s="28"/>
      <c r="O15" s="28"/>
      <c r="P15" s="28"/>
      <c r="Q15" s="28"/>
      <c r="R15" s="28"/>
      <c r="S15" s="28"/>
      <c r="T15" s="28"/>
      <c r="U15" s="28"/>
      <c r="V15" s="28"/>
      <c r="W15" s="28"/>
      <c r="X15" s="28"/>
      <c r="Y15" s="28"/>
      <c r="Z15" s="28"/>
      <c r="AA15" s="28"/>
      <c r="AB15" s="28"/>
    </row>
    <row r="16" spans="1:28" ht="15.75" customHeight="1" x14ac:dyDescent="0.15">
      <c r="A16" s="21" t="s">
        <v>1032</v>
      </c>
      <c r="B16" s="22" t="s">
        <v>1033</v>
      </c>
      <c r="C16" s="23" t="str">
        <f ca="1">IFERROR(__xludf.DUMMYFUNCTION("GOOGLETRANSLATE(B16,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16" s="23" t="str">
        <f ca="1">IFERROR(__xludf.DUMMYFUNCTION("GOOGLETRANSLATE(B16,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16" s="23" t="str">
        <f ca="1">IFERROR(__xludf.DUMMYFUNCTION("GOOGLETRANSLATE(B16,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16" s="23" t="str">
        <f ca="1">IFERROR(__xludf.DUMMYFUNCTION("GOOGLETRANSLATE(B16,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16" s="23" t="str">
        <f ca="1">IFERROR(__xludf.DUMMYFUNCTION("GOOGLETRANSLATE(B16,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16" s="24" t="str">
        <f ca="1">IFERROR(__xludf.DUMMYFUNCTION("GOOGLETRANSLATE(B16,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16" s="23" t="str">
        <f ca="1">IFERROR(__xludf.DUMMYFUNCTION("GOOGLETRANSLATE(B16,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16" s="25" t="str">
        <f ca="1">IFERROR(__xludf.DUMMYFUNCTION("GOOGLETRANSLATE(B16, ""en"", ""zh"")"),"您与采集工具的有效性。使用时会收集工具丢失多少耐用性。通过使用斧头，镐和镰刀改善。")</f>
        <v>您与采集工具的有效性。使用时会收集工具丢失多少耐用性。通过使用斧头，镐和镰刀改善。</v>
      </c>
      <c r="K16" s="25" t="str">
        <f ca="1">IFERROR(__xludf.DUMMYFUNCTION("GOOGLETRANSLATE(B16,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16" s="26" t="str">
        <f ca="1">IFERROR(__xludf.DUMMYFUNCTION("GOOGLETRANSLATE(B16,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16" s="28"/>
      <c r="N16" s="28"/>
      <c r="O16" s="28"/>
      <c r="P16" s="28"/>
      <c r="Q16" s="28"/>
      <c r="R16" s="28"/>
      <c r="S16" s="28"/>
      <c r="T16" s="28"/>
      <c r="U16" s="28"/>
      <c r="V16" s="28"/>
      <c r="W16" s="28"/>
      <c r="X16" s="28"/>
      <c r="Y16" s="28"/>
      <c r="Z16" s="28"/>
      <c r="AA16" s="28"/>
      <c r="AB16" s="28"/>
    </row>
    <row r="17" spans="1:28" ht="15.75" customHeight="1" x14ac:dyDescent="0.15">
      <c r="A17" s="21" t="s">
        <v>1034</v>
      </c>
      <c r="B17" s="22" t="s">
        <v>1035</v>
      </c>
      <c r="C17" s="23" t="str">
        <f ca="1">IFERROR(__xludf.DUMMYFUNCTION("GOOGLETRANSLATE(B17, ""en"", ""fr"")"),"Armes")</f>
        <v>Armes</v>
      </c>
      <c r="D17" s="23" t="str">
        <f ca="1">IFERROR(__xludf.DUMMYFUNCTION("GOOGLETRANSLATE(B17, ""en"", ""es"")"),"Arsenal")</f>
        <v>Arsenal</v>
      </c>
      <c r="E17" s="23" t="str">
        <f ca="1">IFERROR(__xludf.DUMMYFUNCTION("GOOGLETRANSLATE(B17, ""en"", ""ru"")"),"Вооружение")</f>
        <v>Вооружение</v>
      </c>
      <c r="F17" s="23" t="str">
        <f ca="1">IFERROR(__xludf.DUMMYFUNCTION("GOOGLETRANSLATE(B17, ""en"", ""tr"")"),"Silah")</f>
        <v>Silah</v>
      </c>
      <c r="G17" s="23" t="str">
        <f ca="1">IFERROR(__xludf.DUMMYFUNCTION("GOOGLETRANSLATE(B17, ""en"", ""pt"")"),"Armamento")</f>
        <v>Armamento</v>
      </c>
      <c r="H17" s="24" t="str">
        <f ca="1">IFERROR(__xludf.DUMMYFUNCTION("GOOGLETRANSLATE(B17, ""en"", ""de"")"),"Waffen")</f>
        <v>Waffen</v>
      </c>
      <c r="I17" s="23" t="str">
        <f ca="1">IFERROR(__xludf.DUMMYFUNCTION("GOOGLETRANSLATE(B17, ""en"", ""pl"")"),"Broń.")</f>
        <v>Broń.</v>
      </c>
      <c r="J17" s="25" t="str">
        <f ca="1">IFERROR(__xludf.DUMMYFUNCTION("GOOGLETRANSLATE(B17, ""en"", ""zh"")"),"武器")</f>
        <v>武器</v>
      </c>
      <c r="K17" s="25" t="str">
        <f ca="1">IFERROR(__xludf.DUMMYFUNCTION("GOOGLETRANSLATE(B17, ""en"", ""vi"")"),"Vũ khí.")</f>
        <v>Vũ khí.</v>
      </c>
      <c r="L17" s="26" t="str">
        <f ca="1">IFERROR(__xludf.DUMMYFUNCTION("GOOGLETRANSLATE(B17, ""en"", ""hr"")"),"Oružje")</f>
        <v>Oružje</v>
      </c>
      <c r="M17" s="28"/>
      <c r="N17" s="28"/>
      <c r="O17" s="28"/>
      <c r="P17" s="28"/>
      <c r="Q17" s="28"/>
      <c r="R17" s="28"/>
      <c r="S17" s="28"/>
      <c r="T17" s="28"/>
      <c r="U17" s="28"/>
      <c r="V17" s="28"/>
      <c r="W17" s="28"/>
      <c r="X17" s="28"/>
      <c r="Y17" s="28"/>
      <c r="Z17" s="28"/>
      <c r="AA17" s="28"/>
      <c r="AB17" s="28"/>
    </row>
    <row r="18" spans="1:28" ht="15.75" customHeight="1" x14ac:dyDescent="0.15">
      <c r="A18" s="29" t="s">
        <v>1036</v>
      </c>
      <c r="B18" s="22" t="s">
        <v>1037</v>
      </c>
      <c r="C18" s="23" t="str">
        <f ca="1">IFERROR(__xludf.DUMMYFUNCTION("GOOGLETRANSLATE(B18,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18" s="23" t="str">
        <f ca="1">IFERROR(__xludf.DUMMYFUNCTION("GOOGLETRANSLATE(B18, ""en"", ""es"")"),"¿Cuánta durabilidad tiene las armas que tienes? Mejorar el elaboración de artículos dañinos, como espadas, arcos y personal.")</f>
        <v>¿Cuánta durabilidad tiene las armas que tienes? Mejorar el elaboración de artículos dañinos, como espadas, arcos y personal.</v>
      </c>
      <c r="E18" s="23" t="str">
        <f ca="1">IFERROR(__xludf.DUMMYFUNCTION("GOOGLETRANSLATE(B18,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18" s="23" t="str">
        <f ca="1">IFERROR(__xludf.DUMMYFUNCTION("GOOGLETRANSLATE(B18, ""en"", ""tr"")"),"Eldeki silahların ne kadar dayanıklılığı var. Kılıç, yaylar ve personel gibi zarar verici eşyalar yaparak geliştirin.")</f>
        <v>Eldeki silahların ne kadar dayanıklılığı var. Kılıç, yaylar ve personel gibi zarar verici eşyalar yaparak geliştirin.</v>
      </c>
      <c r="G18" s="23" t="str">
        <f ca="1">IFERROR(__xludf.DUMMYFUNCTION("GOOGLETRANSLATE(B18,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18" s="24" t="str">
        <f ca="1">IFERROR(__xludf.DUMMYFUNCTION("GOOGLETRANSLATE(B18,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18" s="23" t="str">
        <f ca="1">IFERROR(__xludf.DUMMYFUNCTION("GOOGLETRANSLATE(B18, ""en"", ""pl"")"),"Ile trwałe broń, którą masz? Poprawa poprzez tworzenie szkodliwych przedmiotów, takich jak miecze, łuki i personel.")</f>
        <v>Ile trwałe broń, którą masz? Poprawa poprzez tworzenie szkodliwych przedmiotów, takich jak miecze, łuki i personel.</v>
      </c>
      <c r="J18" s="25" t="str">
        <f ca="1">IFERROR(__xludf.DUMMYFUNCTION("GOOGLETRANSLATE(B18, ""en"", ""zh"")"),"你制作的武器有多少耐用性。通过制作损坏的物品，如剑，弓和员工更好。")</f>
        <v>你制作的武器有多少耐用性。通过制作损坏的物品，如剑，弓和员工更好。</v>
      </c>
      <c r="K18" s="25" t="str">
        <f ca="1">IFERROR(__xludf.DUMMYFUNCTION("GOOGLETRANSLATE(B18,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18" s="26" t="str">
        <f ca="1">IFERROR(__xludf.DUMMYFUNCTION("GOOGLETRANSLATE(B18, ""en"", ""hr"")"),"Koliko trajnosti oružje koje ste zanat ima. Poboljšajte izradom štetnih predmeta, kao što su mačevi, lukovi i osoblje.")</f>
        <v>Koliko trajnosti oružje koje ste zanat ima. Poboljšajte izradom štetnih predmeta, kao što su mačevi, lukovi i osoblje.</v>
      </c>
      <c r="M18" s="28"/>
      <c r="N18" s="28"/>
      <c r="O18" s="28"/>
      <c r="P18" s="28"/>
      <c r="Q18" s="28"/>
      <c r="R18" s="28"/>
      <c r="S18" s="28"/>
      <c r="T18" s="28"/>
      <c r="U18" s="28"/>
      <c r="V18" s="28"/>
      <c r="W18" s="28"/>
      <c r="X18" s="28"/>
      <c r="Y18" s="28"/>
      <c r="Z18" s="28"/>
      <c r="AA18" s="28"/>
      <c r="AB18" s="28"/>
    </row>
    <row r="19" spans="1:28" ht="15.75" customHeight="1" x14ac:dyDescent="0.15">
      <c r="A19" s="21" t="s">
        <v>1038</v>
      </c>
      <c r="B19" s="22" t="s">
        <v>1039</v>
      </c>
      <c r="C19" s="23" t="str">
        <f ca="1">IFERROR(__xludf.DUMMYFUNCTION("GOOGLETRANSLATE(B19, ""en"", ""fr"")"),"Arsenal")</f>
        <v>Arsenal</v>
      </c>
      <c r="D19" s="23" t="str">
        <f ca="1">IFERROR(__xludf.DUMMYFUNCTION("GOOGLETRANSLATE(B19, ""en"", ""es"")"),"Arsenal")</f>
        <v>Arsenal</v>
      </c>
      <c r="E19" s="23" t="str">
        <f ca="1">IFERROR(__xludf.DUMMYFUNCTION("GOOGLETRANSLATE(B19, ""en"", ""ru"")"),"Оружия")</f>
        <v>Оружия</v>
      </c>
      <c r="F19" s="23" t="str">
        <f ca="1">IFERROR(__xludf.DUMMYFUNCTION("GOOGLETRANSLATE(B19, ""en"", ""tr"")"),"Zırh")</f>
        <v>Zırh</v>
      </c>
      <c r="G19" s="23" t="str">
        <f ca="1">IFERROR(__xludf.DUMMYFUNCTION("GOOGLETRANSLATE(B19, ""en"", ""pt"")"),"Arsenal")</f>
        <v>Arsenal</v>
      </c>
      <c r="H19" s="24" t="str">
        <f ca="1">IFERROR(__xludf.DUMMYFUNCTION("GOOGLETRANSLATE(B19, ""en"", ""de"")"),"Waffenkammer")</f>
        <v>Waffenkammer</v>
      </c>
      <c r="I19" s="23" t="str">
        <f ca="1">IFERROR(__xludf.DUMMYFUNCTION("GOOGLETRANSLATE(B19, ""en"", ""pl"")"),"Zbrojownia")</f>
        <v>Zbrojownia</v>
      </c>
      <c r="J19" s="25" t="str">
        <f ca="1">IFERROR(__xludf.DUMMYFUNCTION("GOOGLETRANSLATE(B19, ""en"", ""zh"")"),"军械库")</f>
        <v>军械库</v>
      </c>
      <c r="K19" s="25" t="str">
        <f ca="1">IFERROR(__xludf.DUMMYFUNCTION("GOOGLETRANSLATE(B19, ""en"", ""vi"")"),"Armory.")</f>
        <v>Armory.</v>
      </c>
      <c r="L19" s="26" t="str">
        <f ca="1">IFERROR(__xludf.DUMMYFUNCTION("GOOGLETRANSLATE(B19, ""en"", ""hr"")"),"Oružanica")</f>
        <v>Oružanica</v>
      </c>
      <c r="M19" s="28"/>
      <c r="N19" s="28"/>
      <c r="O19" s="28"/>
      <c r="P19" s="28"/>
      <c r="Q19" s="28"/>
      <c r="R19" s="28"/>
      <c r="S19" s="28"/>
      <c r="T19" s="28"/>
      <c r="U19" s="28"/>
      <c r="V19" s="28"/>
      <c r="W19" s="28"/>
      <c r="X19" s="28"/>
      <c r="Y19" s="28"/>
      <c r="Z19" s="28"/>
      <c r="AA19" s="28"/>
      <c r="AB19" s="28"/>
    </row>
    <row r="20" spans="1:28" ht="15.75" customHeight="1" x14ac:dyDescent="0.15">
      <c r="A20" s="29" t="s">
        <v>1040</v>
      </c>
      <c r="B20" s="22" t="s">
        <v>1041</v>
      </c>
      <c r="C20" s="23" t="str">
        <f ca="1">IFERROR(__xludf.DUMMYFUNCTION("GOOGLETRANSLATE(B20,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0" s="23" t="str">
        <f ca="1">IFERROR(__xludf.DUMMYFUNCTION("GOOGLETRANSLATE(B20,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0" s="23" t="str">
        <f ca="1">IFERROR(__xludf.DUMMYFUNCTION("GOOGLETRANSLATE(B20,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0" s="23" t="str">
        <f ca="1">IFERROR(__xludf.DUMMYFUNCTION("GOOGLETRANSLATE(B20,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0" s="23" t="str">
        <f ca="1">IFERROR(__xludf.DUMMYFUNCTION("GOOGLETRANSLATE(B20,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0" s="24" t="str">
        <f ca="1">IFERROR(__xludf.DUMMYFUNCTION("GOOGLETRANSLATE(B20,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0" s="23" t="str">
        <f ca="1">IFERROR(__xludf.DUMMYFUNCTION("GOOGLETRANSLATE(B20,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0" s="25" t="str">
        <f ca="1">IFERROR(__xludf.DUMMYFUNCTION("GOOGLETRANSLATE(B20, ""en"", ""zh"")"),"你制作的手臂和衣服有多少耐用性。通过制作可穿戴物品，例如装甲，斗篷和长袍来改善。")</f>
        <v>你制作的手臂和衣服有多少耐用性。通过制作可穿戴物品，例如装甲，斗篷和长袍来改善。</v>
      </c>
      <c r="K20" s="25" t="str">
        <f ca="1">IFERROR(__xludf.DUMMYFUNCTION("GOOGLETRANSLATE(B20,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0" s="26" t="str">
        <f ca="1">IFERROR(__xludf.DUMMYFUNCTION("GOOGLETRANSLATE(B20, ""en"", ""hr"")"),"Koliko trajnosti oklop i odjeću koju imate. Poboljšano izrađenjem nosivih predmeta, kao što su oklop, ogrtači i ogrtači.")</f>
        <v>Koliko trajnosti oklop i odjeću koju imate. Poboljšano izrađenjem nosivih predmeta, kao što su oklop, ogrtači i ogrtači.</v>
      </c>
      <c r="M20" s="28"/>
      <c r="N20" s="28"/>
      <c r="O20" s="28"/>
      <c r="P20" s="28"/>
      <c r="Q20" s="28"/>
      <c r="R20" s="28"/>
      <c r="S20" s="28"/>
      <c r="T20" s="28"/>
      <c r="U20" s="28"/>
      <c r="V20" s="28"/>
      <c r="W20" s="28"/>
      <c r="X20" s="28"/>
      <c r="Y20" s="28"/>
      <c r="Z20" s="28"/>
      <c r="AA20" s="28"/>
      <c r="AB20" s="28"/>
    </row>
    <row r="21" spans="1:28" ht="15.75" customHeight="1" x14ac:dyDescent="0.15">
      <c r="A21" s="21" t="s">
        <v>1042</v>
      </c>
      <c r="B21" s="22" t="s">
        <v>1043</v>
      </c>
      <c r="C21" s="23" t="str">
        <f ca="1">IFERROR(__xludf.DUMMYFUNCTION("GOOGLETRANSLATE(B21, ""en"", ""fr"")"),"Butée")</f>
        <v>Butée</v>
      </c>
      <c r="D21" s="23" t="str">
        <f ca="1">IFERROR(__xludf.DUMMYFUNCTION("GOOGLETRANSLATE(B21, ""en"", ""es"")"),"Herramienta")</f>
        <v>Herramienta</v>
      </c>
      <c r="E21" s="23" t="str">
        <f ca="1">IFERROR(__xludf.DUMMYFUNCTION("GOOGLETRANSLATE(B21, ""en"", ""ru"")"),"Инструментарий")</f>
        <v>Инструментарий</v>
      </c>
      <c r="F21" s="23" t="str">
        <f ca="1">IFERROR(__xludf.DUMMYFUNCTION("GOOGLETRANSLATE(B21, ""en"", ""tr"")"),"Takım")</f>
        <v>Takım</v>
      </c>
      <c r="G21" s="23" t="str">
        <f ca="1">IFERROR(__xludf.DUMMYFUNCTION("GOOGLETRANSLATE(B21, ""en"", ""pt"")"),"Tokerery.")</f>
        <v>Tokerery.</v>
      </c>
      <c r="H21" s="24" t="str">
        <f ca="1">IFERROR(__xludf.DUMMYFUNCTION("GOOGLETRANSLATE(B21, ""en"", ""de"")"),"Werkzeugmaschinen")</f>
        <v>Werkzeugmaschinen</v>
      </c>
      <c r="I21" s="23" t="str">
        <f ca="1">IFERROR(__xludf.DUMMYFUNCTION("GOOGLETRANSLATE(B21, ""en"", ""pl"")"),"Narzędzie")</f>
        <v>Narzędzie</v>
      </c>
      <c r="J21" s="25" t="str">
        <f ca="1">IFERROR(__xludf.DUMMYFUNCTION("GOOGLETRANSLATE(B21, ""en"", ""zh"")"),"工具")</f>
        <v>工具</v>
      </c>
      <c r="K21" s="25" t="str">
        <f ca="1">IFERROR(__xludf.DUMMYFUNCTION("GOOGLETRANSLATE(B21, ""en"", ""vi"")"),"Công cụ.")</f>
        <v>Công cụ.</v>
      </c>
      <c r="L21" s="26" t="str">
        <f ca="1">IFERROR(__xludf.DUMMYFUNCTION("GOOGLETRANSLATE(B21, ""en"", ""hr"")"),"Alaš")</f>
        <v>Alaš</v>
      </c>
      <c r="M21" s="28"/>
      <c r="N21" s="28"/>
      <c r="O21" s="28"/>
      <c r="P21" s="28"/>
      <c r="Q21" s="28"/>
      <c r="R21" s="28"/>
      <c r="S21" s="28"/>
      <c r="T21" s="28"/>
      <c r="U21" s="28"/>
      <c r="V21" s="28"/>
      <c r="W21" s="28"/>
      <c r="X21" s="28"/>
      <c r="Y21" s="28"/>
      <c r="Z21" s="28"/>
      <c r="AA21" s="28"/>
      <c r="AB21" s="28"/>
    </row>
    <row r="22" spans="1:28" ht="15.75" customHeight="1" x14ac:dyDescent="0.15">
      <c r="A22" s="29" t="s">
        <v>1044</v>
      </c>
      <c r="B22" s="22" t="s">
        <v>1045</v>
      </c>
      <c r="C22" s="23" t="str">
        <f ca="1">IFERROR(__xludf.DUMMYFUNCTION("GOOGLETRANSLATE(B22,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2" s="23" t="str">
        <f ca="1">IFERROR(__xludf.DUMMYFUNCTION("GOOGLETRANSLATE(B22,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2" s="23" t="str">
        <f ca="1">IFERROR(__xludf.DUMMYFUNCTION("GOOGLETRANSLATE(B22,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2" s="23" t="str">
        <f ca="1">IFERROR(__xludf.DUMMYFUNCTION("GOOGLETRANSLATE(B22,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2" s="23" t="str">
        <f ca="1">IFERROR(__xludf.DUMMYFUNCTION("GOOGLETRANSLATE(B22,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2" s="24" t="str">
        <f ca="1">IFERROR(__xludf.DUMMYFUNCTION("GOOGLETRANSLATE(B22,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2" s="23" t="str">
        <f ca="1">IFERROR(__xludf.DUMMYFUNCTION("GOOGLETRANSLATE(B22,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2" s="25" t="str">
        <f ca="1">IFERROR(__xludf.DUMMYFUNCTION("GOOGLETRANSLATE(B22, ""en"", ""zh"")"),"您绘制的公用事业物品有多少钱。通过制作工具和材料改进，例如斧头，镐，锁，金属条和织物。")</f>
        <v>您绘制的公用事业物品有多少钱。通过制作工具和材料改进，例如斧头，镐，锁，金属条和织物。</v>
      </c>
      <c r="K22" s="25" t="str">
        <f ca="1">IFERROR(__xludf.DUMMYFUNCTION("GOOGLETRANSLATE(B22,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2" s="26" t="str">
        <f ca="1">IFERROR(__xludf.DUMMYFUNCTION("GOOGLETRANSLATE(B22,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2" s="28"/>
      <c r="N22" s="28"/>
      <c r="O22" s="28"/>
      <c r="P22" s="28"/>
      <c r="Q22" s="28"/>
      <c r="R22" s="28"/>
      <c r="S22" s="28"/>
      <c r="T22" s="28"/>
      <c r="U22" s="28"/>
      <c r="V22" s="28"/>
      <c r="W22" s="28"/>
      <c r="X22" s="28"/>
      <c r="Y22" s="28"/>
      <c r="Z22" s="28"/>
      <c r="AA22" s="28"/>
      <c r="AB22" s="28"/>
    </row>
    <row r="23" spans="1:28" ht="15.75" customHeight="1" x14ac:dyDescent="0.15">
      <c r="A23" s="21" t="s">
        <v>1046</v>
      </c>
      <c r="B23" s="22" t="s">
        <v>1047</v>
      </c>
      <c r="C23" s="23" t="str">
        <f ca="1">IFERROR(__xludf.DUMMYFUNCTION("GOOGLETRANSLATE(B23, ""en"", ""fr"")"),"Potion")</f>
        <v>Potion</v>
      </c>
      <c r="D23" s="23" t="str">
        <f ca="1">IFERROR(__xludf.DUMMYFUNCTION("GOOGLETRANSLATE(B23, ""en"", ""es"")"),"Potión")</f>
        <v>Potión</v>
      </c>
      <c r="E23" s="23" t="str">
        <f ca="1">IFERROR(__xludf.DUMMYFUNCTION("GOOGLETRANSLATE(B23, ""en"", ""ru"")"),"Пищи")</f>
        <v>Пищи</v>
      </c>
      <c r="F23" s="23" t="str">
        <f ca="1">IFERROR(__xludf.DUMMYFUNCTION("GOOGLETRANSLATE(B23, ""en"", ""tr"")"),"İkincil")</f>
        <v>İkincil</v>
      </c>
      <c r="G23" s="23" t="str">
        <f ca="1">IFERROR(__xludf.DUMMYFUNCTION("GOOGLETRANSLATE(B23, ""en"", ""pt"")"),"Potionia")</f>
        <v>Potionia</v>
      </c>
      <c r="H23" s="24" t="str">
        <f ca="1">IFERROR(__xludf.DUMMYFUNCTION("GOOGLETRANSLATE(B23, ""en"", ""de"")"),"Potional")</f>
        <v>Potional</v>
      </c>
      <c r="I23" s="23" t="str">
        <f ca="1">IFERROR(__xludf.DUMMYFUNCTION("GOOGLETRANSLATE(B23, ""en"", ""pl"")"),"Eliksionry.")</f>
        <v>Eliksionry.</v>
      </c>
      <c r="J23" s="25" t="str">
        <f ca="1">IFERROR(__xludf.DUMMYFUNCTION("GOOGLETRANSLATE(B23, ""en"", ""zh"")"),"药水")</f>
        <v>药水</v>
      </c>
      <c r="K23" s="25" t="str">
        <f ca="1">IFERROR(__xludf.DUMMYFUNCTION("GOOGLETRANSLATE(B23, ""en"", ""vi"")"),"Potionry.")</f>
        <v>Potionry.</v>
      </c>
      <c r="L23" s="26" t="str">
        <f ca="1">IFERROR(__xludf.DUMMYFUNCTION("GOOGLETRANSLATE(B23, ""en"", ""hr"")"),"Nationry")</f>
        <v>Nationry</v>
      </c>
      <c r="M23" s="28"/>
      <c r="N23" s="28"/>
      <c r="O23" s="28"/>
      <c r="P23" s="28"/>
      <c r="Q23" s="28"/>
      <c r="R23" s="28"/>
      <c r="S23" s="28"/>
      <c r="T23" s="28"/>
      <c r="U23" s="28"/>
      <c r="V23" s="28"/>
      <c r="W23" s="28"/>
      <c r="X23" s="28"/>
      <c r="Y23" s="28"/>
      <c r="Z23" s="28"/>
      <c r="AA23" s="28"/>
      <c r="AB23" s="28"/>
    </row>
    <row r="24" spans="1:28" ht="15.75" customHeight="1" x14ac:dyDescent="0.15">
      <c r="A24" s="29" t="s">
        <v>1048</v>
      </c>
      <c r="B24" s="22" t="s">
        <v>1049</v>
      </c>
      <c r="C24" s="23" t="str">
        <f ca="1">IFERROR(__xludf.DUMMYFUNCTION("GOOGLETRANSLATE(B24,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4" s="23" t="str">
        <f ca="1">IFERROR(__xludf.DUMMYFUNCTION("GOOGLETRANSLATE(B24, ""en"", ""es"")"),"¿Cuántos usos tiene las pociones que tiene la embarcación? Mejorar el hecho de crear pociones y comer ingredientes de poción.")</f>
        <v>¿Cuántos usos tiene las pociones que tiene la embarcación? Mejorar el hecho de crear pociones y comer ingredientes de poción.</v>
      </c>
      <c r="E24" s="23" t="str">
        <f ca="1">IFERROR(__xludf.DUMMYFUNCTION("GOOGLETRANSLATE(B24,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4" s="23" t="str">
        <f ca="1">IFERROR(__xludf.DUMMYFUNCTION("GOOGLETRANSLATE(B24, ""en"", ""tr"")"),"El yaptığınız iksirleri kaç tane kullanır. İkir işçiliği ve iksir malzemelerini yemek yaparak iyileştirin.")</f>
        <v>El yaptığınız iksirleri kaç tane kullanır. İkir işçiliği ve iksir malzemelerini yemek yaparak iyileştirin.</v>
      </c>
      <c r="G24" s="23" t="str">
        <f ca="1">IFERROR(__xludf.DUMMYFUNCTION("GOOGLETRANSLATE(B24, ""en"", ""pt"")"),"Quantos usa as poções que você artesanal tem. Melhorar a elaboração de poções e comer ingredientes de poção.")</f>
        <v>Quantos usa as poções que você artesanal tem. Melhorar a elaboração de poções e comer ingredientes de poção.</v>
      </c>
      <c r="H24" s="24" t="str">
        <f ca="1">IFERROR(__xludf.DUMMYFUNCTION("GOOGLETRANSLATE(B24, ""en"", ""de"")"),"Wie viele verwendet die Tränke, die Sie handwerklich machen. Verbessern Sie sich durch Basteln von Tränken und Tränken in Zutaten.")</f>
        <v>Wie viele verwendet die Tränke, die Sie handwerklich machen. Verbessern Sie sich durch Basteln von Tränken und Tränken in Zutaten.</v>
      </c>
      <c r="I24" s="23" t="str">
        <f ca="1">IFERROR(__xludf.DUMMYFUNCTION("GOOGLETRANSLATE(B24, ""en"", ""pl"")"),"Ilu wykorzystuje mikstury, które masz? Poprawić przez eliksirów i jedzenia składników mikstury.")</f>
        <v>Ilu wykorzystuje mikstury, które masz? Poprawić przez eliksirów i jedzenia składników mikstury.</v>
      </c>
      <c r="J24" s="25" t="str">
        <f ca="1">IFERROR(__xludf.DUMMYFUNCTION("GOOGLETRANSLATE(B24, ""en"", ""zh"")"),"有多少用你制作的药物。通过制备药水和食用药水成分改善。")</f>
        <v>有多少用你制作的药物。通过制备药水和食用药水成分改善。</v>
      </c>
      <c r="K24" s="25" t="str">
        <f ca="1">IFERROR(__xludf.DUMMYFUNCTION("GOOGLETRANSLATE(B24,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4" s="26" t="str">
        <f ca="1">IFERROR(__xludf.DUMMYFUNCTION("GOOGLETRANSLATE(B24, ""en"", ""hr"")"),"Koliko koristi napitke koje plovite. Poboljšajte sastojcima za izradu i prehrani napitak.")</f>
        <v>Koliko koristi napitke koje plovite. Poboljšajte sastojcima za izradu i prehrani napitak.</v>
      </c>
      <c r="M24" s="28"/>
      <c r="N24" s="28"/>
      <c r="O24" s="28"/>
      <c r="P24" s="28"/>
      <c r="Q24" s="28"/>
      <c r="R24" s="28"/>
      <c r="S24" s="28"/>
      <c r="T24" s="28"/>
      <c r="U24" s="28"/>
      <c r="V24" s="28"/>
      <c r="W24" s="28"/>
      <c r="X24" s="28"/>
      <c r="Y24" s="28"/>
      <c r="Z24" s="28"/>
      <c r="AA24" s="28"/>
      <c r="AB24" s="28"/>
    </row>
    <row r="25" spans="1:28" ht="15.75" customHeight="1" x14ac:dyDescent="0.15">
      <c r="A25" s="29" t="s">
        <v>1050</v>
      </c>
      <c r="B25" s="22" t="s">
        <v>1051</v>
      </c>
      <c r="C25" s="23" t="str">
        <f ca="1">IFERROR(__xludf.DUMMYFUNCTION("GOOGLETRANSLATE(B25, ""en"", ""fr"")"),"Classement")</f>
        <v>Classement</v>
      </c>
      <c r="D25" s="23" t="str">
        <f ca="1">IFERROR(__xludf.DUMMYFUNCTION("GOOGLETRANSLATE(B25, ""en"", ""es"")"),"Comunidad")</f>
        <v>Comunidad</v>
      </c>
      <c r="E25" s="23" t="str">
        <f ca="1">IFERROR(__xludf.DUMMYFUNCTION("GOOGLETRANSLATE(B25, ""en"", ""ru"")"),"Клапанство")</f>
        <v>Клапанство</v>
      </c>
      <c r="F25" s="23" t="str">
        <f ca="1">IFERROR(__xludf.DUMMYFUNCTION("GOOGLETRANSLATE(B25, ""en"", ""tr"")"),"Klansilik")</f>
        <v>Klansilik</v>
      </c>
      <c r="G25" s="23" t="str">
        <f ca="1">IFERROR(__xludf.DUMMYFUNCTION("GOOGLETRANSLATE(B25, ""en"", ""pt"")"),"Fósforo")</f>
        <v>Fósforo</v>
      </c>
      <c r="H25" s="24" t="str">
        <f ca="1">IFERROR(__xludf.DUMMYFUNCTION("GOOGLETRANSLATE(B25, ""en"", ""de"")"),"Clanship")</f>
        <v>Clanship</v>
      </c>
      <c r="I25" s="23" t="str">
        <f ca="1">IFERROR(__xludf.DUMMYFUNCTION("GOOGLETRANSLATE(B25, ""en"", ""pl"")"),"Klany")</f>
        <v>Klany</v>
      </c>
      <c r="J25" s="25" t="str">
        <f ca="1">IFERROR(__xludf.DUMMYFUNCTION("GOOGLETRANSLATE(B25, ""en"", ""zh"")"),"思潮")</f>
        <v>思潮</v>
      </c>
      <c r="K25" s="25" t="str">
        <f ca="1">IFERROR(__xludf.DUMMYFUNCTION("GOOGLETRANSLATE(B25, ""en"", ""vi"")"),"CLASS.")</f>
        <v>CLASS.</v>
      </c>
      <c r="L25" s="26" t="str">
        <f ca="1">IFERROR(__xludf.DUMMYFUNCTION("GOOGLETRANSLATE(B25, ""en"", ""hr"")"),"Clanstvo")</f>
        <v>Clanstvo</v>
      </c>
      <c r="M25" s="28"/>
      <c r="N25" s="28"/>
      <c r="O25" s="28"/>
      <c r="P25" s="28"/>
      <c r="Q25" s="28"/>
      <c r="R25" s="28"/>
      <c r="S25" s="28"/>
      <c r="T25" s="28"/>
      <c r="U25" s="28"/>
      <c r="V25" s="28"/>
      <c r="W25" s="28"/>
      <c r="X25" s="28"/>
      <c r="Y25" s="28"/>
      <c r="Z25" s="28"/>
      <c r="AA25" s="28"/>
      <c r="AB25" s="28"/>
    </row>
    <row r="26" spans="1:28" ht="15.75" customHeight="1" x14ac:dyDescent="0.15">
      <c r="A26" s="29" t="s">
        <v>1052</v>
      </c>
      <c r="B26" s="22" t="s">
        <v>1053</v>
      </c>
      <c r="C26" s="23" t="str">
        <f ca="1">IFERROR(__xludf.DUMMYFUNCTION("GOOGLETRANSLATE(B26,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26" s="23" t="str">
        <f ca="1">IFERROR(__xludf.DUMMYFUNCTION("GOOGLETRANSLATE(B26,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26" s="23" t="str">
        <f ca="1">IFERROR(__xludf.DUMMYFUNCTION("GOOGLETRANSLATE(B26,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26" s="23" t="str">
        <f ca="1">IFERROR(__xludf.DUMMYFUNCTION("GOOGLETRANSLATE(B26,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26" s="23" t="str">
        <f ca="1">IFERROR(__xludf.DUMMYFUNCTION("GOOGLETRANSLATE(B26,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26" s="24" t="str">
        <f ca="1">IFERROR(__xludf.DUMMYFUNCTION("GOOGLETRANSLATE(B26,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26" s="23" t="str">
        <f ca="1">IFERROR(__xludf.DUMMYFUNCTION("GOOGLETRANSLATE(B26,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26" s="25" t="str">
        <f ca="1">IFERROR(__xludf.DUMMYFUNCTION("GOOGLETRANSLATE(B26,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26" s="25" t="str">
        <f ca="1">IFERROR(__xludf.DUMMYFUNCTION("GOOGLETRANSLATE(B26,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26" s="26" t="str">
        <f ca="1">IFERROR(__xludf.DUMMYFUNCTION("GOOGLETRANSLATE(B26,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26" s="28"/>
      <c r="N26" s="28"/>
      <c r="O26" s="28"/>
      <c r="P26" s="28"/>
      <c r="Q26" s="28"/>
      <c r="R26" s="28"/>
      <c r="S26" s="28"/>
      <c r="T26" s="28"/>
      <c r="U26" s="28"/>
      <c r="V26" s="28"/>
      <c r="W26" s="28"/>
      <c r="X26" s="28"/>
      <c r="Y26" s="28"/>
      <c r="Z26" s="28"/>
      <c r="AA26" s="28"/>
      <c r="AB26" s="28"/>
    </row>
    <row r="27" spans="1:28" ht="15.75" customHeight="1" x14ac:dyDescent="0.15">
      <c r="A27" s="34"/>
      <c r="B27" s="35"/>
      <c r="C27" s="30"/>
      <c r="D27" s="30"/>
      <c r="E27" s="30"/>
      <c r="F27" s="30"/>
      <c r="G27" s="30"/>
      <c r="H27" s="31"/>
      <c r="I27" s="30"/>
      <c r="J27" s="32"/>
      <c r="K27" s="32"/>
      <c r="L27" s="33"/>
      <c r="M27" s="28"/>
      <c r="N27" s="28"/>
      <c r="O27" s="28"/>
      <c r="P27" s="28"/>
      <c r="Q27" s="28"/>
      <c r="R27" s="28"/>
      <c r="S27" s="28"/>
      <c r="T27" s="28"/>
      <c r="U27" s="28"/>
      <c r="V27" s="28"/>
      <c r="W27" s="28"/>
      <c r="X27" s="28"/>
      <c r="Y27" s="28"/>
      <c r="Z27" s="28"/>
      <c r="AA27" s="28"/>
      <c r="AB27" s="28"/>
    </row>
    <row r="28" spans="1:28" ht="15.75" customHeight="1" x14ac:dyDescent="0.15">
      <c r="A28" s="34"/>
      <c r="B28" s="35"/>
      <c r="C28" s="30"/>
      <c r="D28" s="30"/>
      <c r="E28" s="30"/>
      <c r="F28" s="30"/>
      <c r="G28" s="30"/>
      <c r="H28" s="31"/>
      <c r="I28" s="30"/>
      <c r="J28" s="32"/>
      <c r="K28" s="32"/>
      <c r="L28" s="33"/>
      <c r="M28" s="28"/>
      <c r="N28" s="28"/>
      <c r="O28" s="28"/>
      <c r="P28" s="28"/>
      <c r="Q28" s="28"/>
      <c r="R28" s="28"/>
      <c r="S28" s="28"/>
      <c r="T28" s="28"/>
      <c r="U28" s="28"/>
      <c r="V28" s="28"/>
      <c r="W28" s="28"/>
      <c r="X28" s="28"/>
      <c r="Y28" s="28"/>
      <c r="Z28" s="28"/>
      <c r="AA28" s="28"/>
      <c r="AB28" s="28"/>
    </row>
    <row r="29" spans="1:28" ht="15.75" customHeight="1" x14ac:dyDescent="0.15">
      <c r="A29" s="34"/>
      <c r="B29" s="35"/>
      <c r="C29" s="30"/>
      <c r="D29" s="30"/>
      <c r="E29" s="30"/>
      <c r="F29" s="30"/>
      <c r="G29" s="30"/>
      <c r="H29" s="31"/>
      <c r="I29" s="30"/>
      <c r="J29" s="32"/>
      <c r="K29" s="32"/>
      <c r="L29" s="33"/>
      <c r="M29" s="28"/>
      <c r="N29" s="28"/>
      <c r="O29" s="28"/>
      <c r="P29" s="28"/>
      <c r="Q29" s="28"/>
      <c r="R29" s="28"/>
      <c r="S29" s="28"/>
      <c r="T29" s="28"/>
      <c r="U29" s="28"/>
      <c r="V29" s="28"/>
      <c r="W29" s="28"/>
      <c r="X29" s="28"/>
      <c r="Y29" s="28"/>
      <c r="Z29" s="28"/>
      <c r="AA29" s="28"/>
      <c r="AB29" s="28"/>
    </row>
    <row r="30" spans="1:28" ht="15.75" customHeight="1" x14ac:dyDescent="0.15">
      <c r="A30" s="34"/>
      <c r="B30" s="35"/>
      <c r="C30" s="30"/>
      <c r="D30" s="30"/>
      <c r="E30" s="30"/>
      <c r="F30" s="30"/>
      <c r="G30" s="30"/>
      <c r="H30" s="31"/>
      <c r="I30" s="30"/>
      <c r="J30" s="32"/>
      <c r="K30" s="32"/>
      <c r="L30" s="33"/>
      <c r="M30" s="28"/>
      <c r="N30" s="28"/>
      <c r="O30" s="28"/>
      <c r="P30" s="28"/>
      <c r="Q30" s="28"/>
      <c r="R30" s="28"/>
      <c r="S30" s="28"/>
      <c r="T30" s="28"/>
      <c r="U30" s="28"/>
      <c r="V30" s="28"/>
      <c r="W30" s="28"/>
      <c r="X30" s="28"/>
      <c r="Y30" s="28"/>
      <c r="Z30" s="28"/>
      <c r="AA30" s="28"/>
      <c r="AB30" s="28"/>
    </row>
    <row r="31" spans="1:28" ht="15.75" customHeight="1" x14ac:dyDescent="0.15">
      <c r="A31" s="34"/>
      <c r="B31" s="35"/>
      <c r="C31" s="30"/>
      <c r="D31" s="30"/>
      <c r="E31" s="30"/>
      <c r="F31" s="30"/>
      <c r="G31" s="30"/>
      <c r="H31" s="31"/>
      <c r="I31" s="30"/>
      <c r="J31" s="32"/>
      <c r="K31" s="32"/>
      <c r="L31" s="33"/>
      <c r="M31" s="28"/>
      <c r="N31" s="28"/>
      <c r="O31" s="28"/>
      <c r="P31" s="28"/>
      <c r="Q31" s="28"/>
      <c r="R31" s="28"/>
      <c r="S31" s="28"/>
      <c r="T31" s="28"/>
      <c r="U31" s="28"/>
      <c r="V31" s="28"/>
      <c r="W31" s="28"/>
      <c r="X31" s="28"/>
      <c r="Y31" s="28"/>
      <c r="Z31" s="28"/>
      <c r="AA31" s="28"/>
      <c r="AB31" s="28"/>
    </row>
    <row r="32" spans="1:28" ht="15.75" customHeight="1" x14ac:dyDescent="0.15">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spans="1:28" ht="15.75" customHeight="1" x14ac:dyDescent="0.15">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spans="1:28" ht="15.75" customHeight="1" x14ac:dyDescent="0.15">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spans="1:28" ht="15.75" customHeight="1" x14ac:dyDescent="0.1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spans="1:28" ht="15.75" customHeight="1" x14ac:dyDescent="0.15">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spans="1:28" ht="15.75" customHeight="1" x14ac:dyDescent="0.15">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spans="1:28" ht="15.75" customHeight="1" x14ac:dyDescent="0.15">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spans="1:28" ht="15.75" customHeight="1" x14ac:dyDescent="0.15">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spans="1:28" ht="15.75" customHeight="1" x14ac:dyDescent="0.15">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spans="1:28" ht="15.75" customHeight="1" x14ac:dyDescent="0.15">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spans="1:28" ht="15.75" customHeight="1" x14ac:dyDescent="0.15">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spans="1:28" ht="15.75" customHeight="1" x14ac:dyDescent="0.15">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spans="1:28" ht="15.75" customHeight="1" x14ac:dyDescent="0.15">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spans="1:28" ht="15.75" customHeight="1" x14ac:dyDescent="0.1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spans="1:28" ht="15.75" customHeight="1" x14ac:dyDescent="0.15">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spans="1:28" ht="15.75" customHeight="1" x14ac:dyDescent="0.15">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spans="1:28" ht="15.75" customHeight="1" x14ac:dyDescent="0.15">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spans="1:28" ht="15.75" customHeight="1" x14ac:dyDescent="0.15">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spans="1:28" ht="13" x14ac:dyDescent="0.15">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spans="1:28" ht="13" x14ac:dyDescent="0.15">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spans="1:28" ht="13" x14ac:dyDescent="0.15">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spans="1:28" ht="13" x14ac:dyDescent="0.15">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spans="1:28" ht="13" x14ac:dyDescent="0.15">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spans="1:28" ht="13" x14ac:dyDescent="0.1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spans="1:28" ht="13" x14ac:dyDescent="0.15">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spans="1:28" ht="13" x14ac:dyDescent="0.15">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spans="1:28" ht="13" x14ac:dyDescent="0.15">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spans="1:28" ht="13" x14ac:dyDescent="0.15">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spans="1:28" ht="13" x14ac:dyDescent="0.15">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spans="1:28" ht="13" x14ac:dyDescent="0.15">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spans="1:28" ht="13" x14ac:dyDescent="0.15">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spans="1:28" ht="13" x14ac:dyDescent="0.15">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spans="1:28" ht="13" x14ac:dyDescent="0.15">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spans="1:28" ht="13" x14ac:dyDescent="0.1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spans="1:28" ht="13" x14ac:dyDescent="0.15">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spans="1:28" ht="13" x14ac:dyDescent="0.15">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spans="1:28" ht="13" x14ac:dyDescent="0.15">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spans="1:28" ht="13" x14ac:dyDescent="0.15">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spans="1:28" ht="13" x14ac:dyDescent="0.15">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spans="1:28" ht="13" x14ac:dyDescent="0.15">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spans="1:28" ht="13" x14ac:dyDescent="0.15">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spans="1:28" ht="13" x14ac:dyDescent="0.15">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spans="1:28" ht="13" x14ac:dyDescent="0.15">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spans="1:28" ht="13" x14ac:dyDescent="0.1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spans="1:28" ht="13" x14ac:dyDescent="0.15">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spans="1:28" ht="13" x14ac:dyDescent="0.15">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spans="1:28" ht="13" x14ac:dyDescent="0.15">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spans="1:28" ht="13" x14ac:dyDescent="0.15">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spans="1:28" ht="13" x14ac:dyDescent="0.15">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spans="1:28" ht="13" x14ac:dyDescent="0.15">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spans="1:28" ht="13" x14ac:dyDescent="0.15">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spans="1:28" ht="13" x14ac:dyDescent="0.15">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spans="1:28" ht="13" x14ac:dyDescent="0.15">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spans="1:28" ht="13" x14ac:dyDescent="0.1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spans="1:28" ht="13" x14ac:dyDescent="0.15">
      <c r="A86" s="1"/>
      <c r="B86" s="36"/>
      <c r="C86" s="36"/>
      <c r="D86" s="36"/>
      <c r="E86" s="36"/>
      <c r="F86" s="36"/>
      <c r="G86" s="36"/>
      <c r="H86" s="37"/>
      <c r="I86" s="36"/>
      <c r="J86" s="38"/>
      <c r="K86" s="38"/>
      <c r="L86" s="39"/>
      <c r="M86" s="39"/>
      <c r="N86" s="39"/>
      <c r="O86" s="39"/>
      <c r="P86" s="39"/>
      <c r="Q86" s="39"/>
      <c r="R86" s="39"/>
      <c r="S86" s="39"/>
      <c r="T86" s="39"/>
      <c r="U86" s="39"/>
      <c r="V86" s="39"/>
      <c r="W86" s="39"/>
      <c r="X86" s="39"/>
      <c r="Y86" s="39"/>
      <c r="Z86" s="39"/>
      <c r="AA86" s="39"/>
      <c r="AB86" s="39"/>
    </row>
    <row r="87" spans="1:28" ht="13" x14ac:dyDescent="0.15">
      <c r="A87" s="1"/>
      <c r="B87" s="36"/>
      <c r="C87" s="36"/>
      <c r="D87" s="36"/>
      <c r="E87" s="36"/>
      <c r="F87" s="36"/>
      <c r="G87" s="36"/>
      <c r="H87" s="37"/>
      <c r="I87" s="36"/>
      <c r="J87" s="38"/>
      <c r="K87" s="38"/>
      <c r="L87" s="39"/>
      <c r="M87" s="39"/>
      <c r="N87" s="39"/>
      <c r="O87" s="39"/>
      <c r="P87" s="39"/>
      <c r="Q87" s="39"/>
      <c r="R87" s="39"/>
      <c r="S87" s="39"/>
      <c r="T87" s="39"/>
      <c r="U87" s="39"/>
      <c r="V87" s="39"/>
      <c r="W87" s="39"/>
      <c r="X87" s="39"/>
      <c r="Y87" s="39"/>
      <c r="Z87" s="39"/>
      <c r="AA87" s="39"/>
      <c r="AB87" s="39"/>
    </row>
    <row r="88" spans="1:28" ht="13" x14ac:dyDescent="0.15">
      <c r="A88" s="1"/>
      <c r="B88" s="36"/>
      <c r="C88" s="36"/>
      <c r="D88" s="36"/>
      <c r="E88" s="36"/>
      <c r="F88" s="36"/>
      <c r="G88" s="36"/>
      <c r="H88" s="37"/>
      <c r="I88" s="36"/>
      <c r="J88" s="38"/>
      <c r="K88" s="38"/>
      <c r="L88" s="39"/>
      <c r="M88" s="39"/>
      <c r="N88" s="39"/>
      <c r="O88" s="39"/>
      <c r="P88" s="39"/>
      <c r="Q88" s="39"/>
      <c r="R88" s="39"/>
      <c r="S88" s="39"/>
      <c r="T88" s="39"/>
      <c r="U88" s="39"/>
      <c r="V88" s="39"/>
      <c r="W88" s="39"/>
      <c r="X88" s="39"/>
      <c r="Y88" s="39"/>
      <c r="Z88" s="39"/>
      <c r="AA88" s="39"/>
      <c r="AB88" s="39"/>
    </row>
    <row r="89" spans="1:28" ht="13" x14ac:dyDescent="0.15">
      <c r="A89" s="1"/>
      <c r="B89" s="36"/>
      <c r="C89" s="36"/>
      <c r="D89" s="36"/>
      <c r="E89" s="36"/>
      <c r="F89" s="36"/>
      <c r="G89" s="36"/>
      <c r="H89" s="37"/>
      <c r="I89" s="36"/>
      <c r="J89" s="38"/>
      <c r="K89" s="38"/>
      <c r="L89" s="39"/>
      <c r="M89" s="39"/>
      <c r="N89" s="39"/>
      <c r="O89" s="39"/>
      <c r="P89" s="39"/>
      <c r="Q89" s="39"/>
      <c r="R89" s="39"/>
      <c r="S89" s="39"/>
      <c r="T89" s="39"/>
      <c r="U89" s="39"/>
      <c r="V89" s="39"/>
      <c r="W89" s="39"/>
      <c r="X89" s="39"/>
      <c r="Y89" s="39"/>
      <c r="Z89" s="39"/>
      <c r="AA89" s="39"/>
      <c r="AB89" s="39"/>
    </row>
    <row r="90" spans="1:28" ht="13" x14ac:dyDescent="0.15">
      <c r="A90" s="1"/>
      <c r="B90" s="36"/>
      <c r="C90" s="36"/>
      <c r="D90" s="36"/>
      <c r="E90" s="36"/>
      <c r="F90" s="36"/>
      <c r="G90" s="36"/>
      <c r="H90" s="37"/>
      <c r="I90" s="36"/>
      <c r="J90" s="38"/>
      <c r="K90" s="38"/>
      <c r="L90" s="39"/>
      <c r="M90" s="39"/>
      <c r="N90" s="39"/>
      <c r="O90" s="39"/>
      <c r="P90" s="39"/>
      <c r="Q90" s="39"/>
      <c r="R90" s="39"/>
      <c r="S90" s="39"/>
      <c r="T90" s="39"/>
      <c r="U90" s="39"/>
      <c r="V90" s="39"/>
      <c r="W90" s="39"/>
      <c r="X90" s="39"/>
      <c r="Y90" s="39"/>
      <c r="Z90" s="39"/>
      <c r="AA90" s="39"/>
      <c r="AB90" s="39"/>
    </row>
    <row r="91" spans="1:28" ht="13" x14ac:dyDescent="0.15">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spans="1:28" ht="13" x14ac:dyDescent="0.15">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spans="1:28" ht="13" x14ac:dyDescent="0.15">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spans="1:28" ht="13" x14ac:dyDescent="0.15">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spans="1:28" ht="13" x14ac:dyDescent="0.1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spans="1:28" ht="13" x14ac:dyDescent="0.15">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spans="1:28" ht="13" x14ac:dyDescent="0.15">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spans="1:28" ht="13" x14ac:dyDescent="0.15">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spans="1:28" ht="13" x14ac:dyDescent="0.15">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spans="1:28" ht="13" x14ac:dyDescent="0.15">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spans="1:28" ht="13" x14ac:dyDescent="0.15">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spans="1:28" ht="13" x14ac:dyDescent="0.15">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spans="1:28" ht="13" x14ac:dyDescent="0.15">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spans="1:28" ht="13" x14ac:dyDescent="0.15">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spans="1:28" ht="13" x14ac:dyDescent="0.1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spans="1:28" ht="13" x14ac:dyDescent="0.15">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spans="1:28" ht="13" x14ac:dyDescent="0.15">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spans="1:28" ht="13" x14ac:dyDescent="0.15">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spans="1:28" ht="13" x14ac:dyDescent="0.15">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spans="1:28" ht="13" x14ac:dyDescent="0.15">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spans="1:28" ht="13" x14ac:dyDescent="0.15">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spans="1:28" ht="13" x14ac:dyDescent="0.15">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spans="1:28" ht="13" x14ac:dyDescent="0.15">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spans="1:28" ht="13" x14ac:dyDescent="0.15">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spans="1:28" ht="13" x14ac:dyDescent="0.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spans="1:28" ht="13" x14ac:dyDescent="0.15">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spans="1:28" ht="13" x14ac:dyDescent="0.15">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spans="1:28" ht="13" x14ac:dyDescent="0.15">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spans="1:28" ht="13" x14ac:dyDescent="0.15">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spans="1:28" ht="13" x14ac:dyDescent="0.15">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spans="1:28" ht="13" x14ac:dyDescent="0.15">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spans="1:28" ht="13" x14ac:dyDescent="0.15">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spans="1:28" ht="13" x14ac:dyDescent="0.15">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spans="1:28" ht="13" x14ac:dyDescent="0.15">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spans="1:28" ht="13" x14ac:dyDescent="0.1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spans="1:28" ht="13" x14ac:dyDescent="0.15">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spans="1:28" ht="13" x14ac:dyDescent="0.15">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spans="1:28" ht="13" x14ac:dyDescent="0.15">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spans="1:28" ht="13" x14ac:dyDescent="0.15">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spans="1:28" ht="13" x14ac:dyDescent="0.15">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spans="1:28" ht="13" x14ac:dyDescent="0.15">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spans="1:28" ht="13" x14ac:dyDescent="0.15">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spans="1:28" ht="13" x14ac:dyDescent="0.15">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spans="1:28" ht="13" x14ac:dyDescent="0.15">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spans="1:28" ht="13" x14ac:dyDescent="0.1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spans="1:28" ht="13" x14ac:dyDescent="0.15">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spans="1:28" ht="13" x14ac:dyDescent="0.15">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spans="1:28" ht="13" x14ac:dyDescent="0.15">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spans="1:28" ht="13" x14ac:dyDescent="0.15">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spans="1:28" ht="13" x14ac:dyDescent="0.15">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spans="1:28" ht="13" x14ac:dyDescent="0.15">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spans="1:28" ht="13" x14ac:dyDescent="0.15">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spans="1:28" ht="13" x14ac:dyDescent="0.15">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spans="1:28" ht="13" x14ac:dyDescent="0.15">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spans="1:28" ht="13" x14ac:dyDescent="0.1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spans="1:28" ht="13" x14ac:dyDescent="0.15">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spans="1:28" ht="13" x14ac:dyDescent="0.15">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spans="1:28" ht="13" x14ac:dyDescent="0.15">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spans="1:28" ht="13" x14ac:dyDescent="0.15">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spans="1:28" ht="13" x14ac:dyDescent="0.15">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spans="1:28" ht="13" x14ac:dyDescent="0.15">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spans="1:28" ht="13" x14ac:dyDescent="0.15">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spans="1:28" ht="13" x14ac:dyDescent="0.15">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spans="1:28" ht="13" x14ac:dyDescent="0.15">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spans="1:28" ht="13" x14ac:dyDescent="0.1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spans="1:28" ht="13" x14ac:dyDescent="0.15">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spans="1:28" ht="13" x14ac:dyDescent="0.15">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spans="1:28" ht="13" x14ac:dyDescent="0.15">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spans="1:28" ht="13" x14ac:dyDescent="0.15">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spans="1:28" ht="13" x14ac:dyDescent="0.15">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spans="1:28" ht="13" x14ac:dyDescent="0.15">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spans="1:28" ht="13" x14ac:dyDescent="0.15">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spans="1:28" ht="13" x14ac:dyDescent="0.15">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spans="1:28" ht="13" x14ac:dyDescent="0.15">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spans="1:28" ht="13" x14ac:dyDescent="0.1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spans="1:28" ht="13" x14ac:dyDescent="0.15">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spans="1:28" ht="13" x14ac:dyDescent="0.15">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spans="1:28" ht="13" x14ac:dyDescent="0.15">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spans="1:28" ht="13" x14ac:dyDescent="0.15">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spans="1:28" ht="13" x14ac:dyDescent="0.15">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spans="1:28" ht="13" x14ac:dyDescent="0.15">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spans="1:28" ht="13" x14ac:dyDescent="0.15">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spans="1:28" ht="13" x14ac:dyDescent="0.15">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spans="1:28" ht="13" x14ac:dyDescent="0.15">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spans="1:28" ht="13" x14ac:dyDescent="0.1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spans="1:28" ht="13" x14ac:dyDescent="0.15">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spans="1:28" ht="13" x14ac:dyDescent="0.15">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spans="1:28" ht="13" x14ac:dyDescent="0.15">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spans="1:28" ht="13" x14ac:dyDescent="0.15">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spans="1:28" ht="13" x14ac:dyDescent="0.15">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spans="1:28" ht="13" x14ac:dyDescent="0.15">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spans="1:28" ht="13" x14ac:dyDescent="0.15">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spans="1:28" ht="13" x14ac:dyDescent="0.15">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spans="1:28" ht="13" x14ac:dyDescent="0.15">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spans="1:28" ht="13" x14ac:dyDescent="0.1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spans="1:28" ht="13" x14ac:dyDescent="0.15">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spans="1:28" ht="13" x14ac:dyDescent="0.15">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spans="1:28" ht="13" x14ac:dyDescent="0.15">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spans="1:28" ht="13" x14ac:dyDescent="0.15">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spans="1:28" ht="13" x14ac:dyDescent="0.15">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spans="1:28" ht="13" x14ac:dyDescent="0.15">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spans="1:28" ht="13" x14ac:dyDescent="0.15">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spans="1:28" ht="13" x14ac:dyDescent="0.15">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spans="1:28" ht="13" x14ac:dyDescent="0.15">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spans="1:28" ht="13" x14ac:dyDescent="0.1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spans="1:28" ht="13" x14ac:dyDescent="0.15">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spans="1:28" ht="13" x14ac:dyDescent="0.15">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spans="1:28" ht="13" x14ac:dyDescent="0.15">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spans="1:28" ht="13" x14ac:dyDescent="0.15">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spans="1:28" ht="13" x14ac:dyDescent="0.15">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spans="1:28" ht="13" x14ac:dyDescent="0.15">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spans="1:28" ht="13" x14ac:dyDescent="0.15">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spans="1:28" ht="13" x14ac:dyDescent="0.15">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spans="1:28" ht="13" x14ac:dyDescent="0.15">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spans="1:28" ht="13" x14ac:dyDescent="0.1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spans="1:28" ht="13" x14ac:dyDescent="0.15">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spans="1:28" ht="13" x14ac:dyDescent="0.15">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spans="1:28" ht="13" x14ac:dyDescent="0.15">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spans="1:28" ht="13" x14ac:dyDescent="0.15">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spans="1:28" ht="13" x14ac:dyDescent="0.15">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spans="1:28" ht="13" x14ac:dyDescent="0.15">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spans="1:28" ht="13" x14ac:dyDescent="0.15">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spans="1:28" ht="13" x14ac:dyDescent="0.15">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spans="1:28" ht="13" x14ac:dyDescent="0.15">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spans="1:28" ht="13" x14ac:dyDescent="0.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spans="1:28" ht="13" x14ac:dyDescent="0.15">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spans="1:28" ht="13" x14ac:dyDescent="0.15">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spans="1:28" ht="13" x14ac:dyDescent="0.15">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spans="1:28" ht="13" x14ac:dyDescent="0.15">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spans="1:28" ht="13" x14ac:dyDescent="0.15">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spans="1:28" ht="13" x14ac:dyDescent="0.15">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spans="1:28" ht="13" x14ac:dyDescent="0.15">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spans="1:28" ht="13" x14ac:dyDescent="0.15">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spans="1:28" ht="13" x14ac:dyDescent="0.15">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spans="1:28" ht="13" x14ac:dyDescent="0.1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spans="1:28" ht="13" x14ac:dyDescent="0.15">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spans="1:28" ht="13" x14ac:dyDescent="0.15">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spans="1:28" ht="13" x14ac:dyDescent="0.15">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spans="1:28" ht="13" x14ac:dyDescent="0.15">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spans="1:28" ht="13" x14ac:dyDescent="0.15">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spans="1:28" ht="13" x14ac:dyDescent="0.15">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spans="1:28" ht="13" x14ac:dyDescent="0.15">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spans="1:28" ht="13" x14ac:dyDescent="0.15">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spans="1:28" ht="13" x14ac:dyDescent="0.15">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spans="1:28" ht="13" x14ac:dyDescent="0.1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spans="1:28" ht="13" x14ac:dyDescent="0.15">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spans="1:28" ht="13" x14ac:dyDescent="0.15">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spans="1:28" ht="13" x14ac:dyDescent="0.15">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spans="1:28" ht="13" x14ac:dyDescent="0.15">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spans="1:28" ht="13" x14ac:dyDescent="0.15">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spans="1:28" ht="13" x14ac:dyDescent="0.15">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spans="1:28" ht="13" x14ac:dyDescent="0.15">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spans="1:28" ht="13" x14ac:dyDescent="0.15">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spans="1:28" ht="13" x14ac:dyDescent="0.15">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spans="1:28" ht="13" x14ac:dyDescent="0.1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spans="1:28" ht="13" x14ac:dyDescent="0.15">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spans="1:28" ht="13" x14ac:dyDescent="0.15">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spans="1:28" ht="13" x14ac:dyDescent="0.15">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spans="1:28" ht="13" x14ac:dyDescent="0.15">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spans="1:28" ht="13" x14ac:dyDescent="0.15">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spans="1:28" ht="13" x14ac:dyDescent="0.15">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spans="1:28" ht="13" x14ac:dyDescent="0.15">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spans="1:28" ht="13" x14ac:dyDescent="0.15">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spans="1:28" ht="13" x14ac:dyDescent="0.15">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spans="1:28" ht="13" x14ac:dyDescent="0.1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spans="1:28" ht="13" x14ac:dyDescent="0.15">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spans="1:28" ht="13" x14ac:dyDescent="0.15">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spans="1:28" ht="13" x14ac:dyDescent="0.15">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spans="1:28" ht="13" x14ac:dyDescent="0.15">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spans="1:28" ht="13" x14ac:dyDescent="0.15">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spans="1:28" ht="13" x14ac:dyDescent="0.15">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spans="1:28" ht="13" x14ac:dyDescent="0.15">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spans="1:28" ht="13" x14ac:dyDescent="0.15">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spans="1:28" ht="13" x14ac:dyDescent="0.15">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spans="1:28" ht="13" x14ac:dyDescent="0.1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spans="1:28" ht="13" x14ac:dyDescent="0.15">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spans="1:28" ht="13" x14ac:dyDescent="0.15">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spans="1:28" ht="13" x14ac:dyDescent="0.15">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spans="1:28" ht="13" x14ac:dyDescent="0.15">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spans="1:28" ht="13" x14ac:dyDescent="0.15">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spans="1:28" ht="13" x14ac:dyDescent="0.15">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spans="1:28" ht="13" x14ac:dyDescent="0.15">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spans="1:28" ht="13" x14ac:dyDescent="0.15">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spans="1:28" ht="13" x14ac:dyDescent="0.15">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spans="1:28" ht="13" x14ac:dyDescent="0.1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spans="1:28" ht="13" x14ac:dyDescent="0.15">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spans="1:28" ht="13" x14ac:dyDescent="0.15">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spans="1:28" ht="13" x14ac:dyDescent="0.15">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spans="1:28" ht="13" x14ac:dyDescent="0.15">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spans="1:28" ht="13" x14ac:dyDescent="0.15">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spans="1:28" ht="13" x14ac:dyDescent="0.15">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spans="1:28" ht="13" x14ac:dyDescent="0.15">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spans="1:28" ht="13" x14ac:dyDescent="0.15">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spans="1:28" ht="13" x14ac:dyDescent="0.15">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spans="1:28" ht="13" x14ac:dyDescent="0.1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spans="1:28" ht="13" x14ac:dyDescent="0.15">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spans="1:28" ht="13" x14ac:dyDescent="0.15">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spans="1:28" ht="13" x14ac:dyDescent="0.15">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spans="1:28" ht="13" x14ac:dyDescent="0.15">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spans="1:28" ht="13" x14ac:dyDescent="0.15">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spans="1:28" ht="13" x14ac:dyDescent="0.15">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spans="1:28" ht="13" x14ac:dyDescent="0.15">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spans="1:28" ht="13" x14ac:dyDescent="0.15">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spans="1:28" ht="13" x14ac:dyDescent="0.15">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spans="1:28" ht="13" x14ac:dyDescent="0.1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spans="1:28" ht="13" x14ac:dyDescent="0.15">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spans="1:28" ht="13" x14ac:dyDescent="0.15">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spans="1:28" ht="13" x14ac:dyDescent="0.15">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spans="1:28" ht="13" x14ac:dyDescent="0.15">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spans="1:28" ht="13" x14ac:dyDescent="0.15">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spans="1:28" ht="13" x14ac:dyDescent="0.15">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spans="1:28" ht="13" x14ac:dyDescent="0.15">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spans="1:28" ht="13" x14ac:dyDescent="0.15">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spans="1:28" ht="13" x14ac:dyDescent="0.15">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spans="1:28" ht="13" x14ac:dyDescent="0.1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spans="1:28" ht="13" x14ac:dyDescent="0.15">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spans="1:28" ht="13" x14ac:dyDescent="0.15">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spans="1:28" ht="13" x14ac:dyDescent="0.15">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spans="1:28" ht="13" x14ac:dyDescent="0.15">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spans="1:28" ht="13" x14ac:dyDescent="0.15">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spans="1:28" ht="13" x14ac:dyDescent="0.15">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spans="1:28" ht="13" x14ac:dyDescent="0.15">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spans="1:28" ht="13" x14ac:dyDescent="0.15">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spans="1:28" ht="13" x14ac:dyDescent="0.15">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spans="1:28" ht="13" x14ac:dyDescent="0.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spans="1:28" ht="13" x14ac:dyDescent="0.15">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spans="1:28" ht="13" x14ac:dyDescent="0.15">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spans="1:28" ht="13" x14ac:dyDescent="0.15">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spans="1:28" ht="13" x14ac:dyDescent="0.15">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spans="1:28" ht="13" x14ac:dyDescent="0.15">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spans="1:28" ht="13" x14ac:dyDescent="0.15">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spans="1:28" ht="13" x14ac:dyDescent="0.15">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spans="1:28" ht="13" x14ac:dyDescent="0.15">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spans="1:28" ht="13" x14ac:dyDescent="0.15">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spans="1:28" ht="13" x14ac:dyDescent="0.1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spans="1:28" ht="13" x14ac:dyDescent="0.15">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spans="1:28" ht="13" x14ac:dyDescent="0.15">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spans="1:28" ht="13" x14ac:dyDescent="0.15">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spans="1:28" ht="13" x14ac:dyDescent="0.15">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spans="1:28" ht="13" x14ac:dyDescent="0.15">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spans="1:28" ht="13" x14ac:dyDescent="0.15">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spans="1:28" ht="13" x14ac:dyDescent="0.15">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spans="1:28" ht="13" x14ac:dyDescent="0.15">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spans="1:28" ht="13" x14ac:dyDescent="0.15">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spans="1:28" ht="13" x14ac:dyDescent="0.1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spans="1:28" ht="13" x14ac:dyDescent="0.15">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spans="1:28" ht="13" x14ac:dyDescent="0.15">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spans="1:28" ht="13" x14ac:dyDescent="0.15">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spans="1:28" ht="13" x14ac:dyDescent="0.15">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spans="1:28" ht="13" x14ac:dyDescent="0.15">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spans="1:28" ht="13" x14ac:dyDescent="0.15">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spans="1:28" ht="13" x14ac:dyDescent="0.15">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spans="1:28" ht="13" x14ac:dyDescent="0.15">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spans="1:28" ht="13" x14ac:dyDescent="0.15">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spans="1:28" ht="13" x14ac:dyDescent="0.1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spans="1:28" ht="13" x14ac:dyDescent="0.15">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spans="1:28" ht="13" x14ac:dyDescent="0.15">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spans="1:28" ht="13" x14ac:dyDescent="0.15">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spans="1:28" ht="13" x14ac:dyDescent="0.15">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spans="1:28" ht="13" x14ac:dyDescent="0.15">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spans="1:28" ht="13" x14ac:dyDescent="0.15">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spans="1:28" ht="13" x14ac:dyDescent="0.15">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spans="1:28" ht="13" x14ac:dyDescent="0.15">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spans="1:28" ht="13" x14ac:dyDescent="0.15">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spans="1:28" ht="13" x14ac:dyDescent="0.1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spans="1:28" ht="13" x14ac:dyDescent="0.15">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spans="1:28" ht="13" x14ac:dyDescent="0.15">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spans="1:28" ht="13" x14ac:dyDescent="0.15">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spans="1:28" ht="13" x14ac:dyDescent="0.15">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spans="1:28" ht="13" x14ac:dyDescent="0.15">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spans="1:28" ht="13" x14ac:dyDescent="0.15">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spans="1:28" ht="13" x14ac:dyDescent="0.15">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spans="1:28" ht="13" x14ac:dyDescent="0.15">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spans="1:28" ht="13" x14ac:dyDescent="0.15">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spans="1:28" ht="13" x14ac:dyDescent="0.1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spans="1:28" ht="13" x14ac:dyDescent="0.15">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spans="1:28" ht="13" x14ac:dyDescent="0.15">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spans="1:28" ht="13" x14ac:dyDescent="0.15">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spans="1:28" ht="13" x14ac:dyDescent="0.15">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spans="1:28" ht="13" x14ac:dyDescent="0.15">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spans="1:28" ht="13" x14ac:dyDescent="0.15">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spans="1:28" ht="13" x14ac:dyDescent="0.15">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spans="1:28" ht="13" x14ac:dyDescent="0.15">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spans="1:28" ht="13" x14ac:dyDescent="0.15">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spans="1:28" ht="13" x14ac:dyDescent="0.1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spans="1:28" ht="13" x14ac:dyDescent="0.15">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spans="1:28" ht="13" x14ac:dyDescent="0.15">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spans="1:28" ht="13" x14ac:dyDescent="0.15">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spans="1:28" ht="13" x14ac:dyDescent="0.15">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spans="1:28" ht="13" x14ac:dyDescent="0.15">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spans="1:28" ht="13" x14ac:dyDescent="0.15">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spans="1:28" ht="13" x14ac:dyDescent="0.15">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spans="1:28" ht="13" x14ac:dyDescent="0.15">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spans="1:28" ht="13" x14ac:dyDescent="0.15">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spans="1:28" ht="13" x14ac:dyDescent="0.1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spans="1:28" ht="13" x14ac:dyDescent="0.15">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spans="1:28" ht="13" x14ac:dyDescent="0.15">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spans="1:28" ht="13" x14ac:dyDescent="0.15">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spans="1:28" ht="13" x14ac:dyDescent="0.15">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spans="1:28" ht="13" x14ac:dyDescent="0.15">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spans="1:28" ht="13" x14ac:dyDescent="0.15">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spans="1:28" ht="13" x14ac:dyDescent="0.15">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spans="1:28" ht="13" x14ac:dyDescent="0.15">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spans="1:28" ht="13" x14ac:dyDescent="0.15">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spans="1:28" ht="13" x14ac:dyDescent="0.1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spans="1:28" ht="13" x14ac:dyDescent="0.15">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spans="1:28" ht="13" x14ac:dyDescent="0.15">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spans="1:28" ht="13" x14ac:dyDescent="0.15">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spans="1:28" ht="13" x14ac:dyDescent="0.15">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spans="1:28" ht="13" x14ac:dyDescent="0.15">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spans="1:28" ht="13" x14ac:dyDescent="0.15">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spans="1:28" ht="13" x14ac:dyDescent="0.15">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spans="1:28" ht="13" x14ac:dyDescent="0.15">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spans="1:28" ht="13" x14ac:dyDescent="0.15">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spans="1:28" ht="13" x14ac:dyDescent="0.1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spans="1:28" ht="13" x14ac:dyDescent="0.15">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spans="1:28" ht="13" x14ac:dyDescent="0.15">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spans="1:28" ht="13" x14ac:dyDescent="0.15">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spans="1:28" ht="13" x14ac:dyDescent="0.15">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spans="1:28" ht="13" x14ac:dyDescent="0.15">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spans="1:28" ht="13" x14ac:dyDescent="0.15">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spans="1:28" ht="13" x14ac:dyDescent="0.15">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spans="1:28" ht="13" x14ac:dyDescent="0.15">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spans="1:28" ht="13" x14ac:dyDescent="0.15">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spans="1:28" ht="13" x14ac:dyDescent="0.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spans="1:28" ht="13" x14ac:dyDescent="0.15">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spans="1:28" ht="13" x14ac:dyDescent="0.15">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spans="1:28" ht="13" x14ac:dyDescent="0.15">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spans="1:28" ht="13" x14ac:dyDescent="0.15">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spans="1:28" ht="13" x14ac:dyDescent="0.15">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spans="1:28" ht="13" x14ac:dyDescent="0.15">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spans="1:28" ht="13" x14ac:dyDescent="0.15">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spans="1:28" ht="13" x14ac:dyDescent="0.15">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spans="1:28" ht="13" x14ac:dyDescent="0.15">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spans="1:28" ht="13" x14ac:dyDescent="0.1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spans="1:28" ht="13" x14ac:dyDescent="0.15">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spans="1:28" ht="13" x14ac:dyDescent="0.15">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spans="1:28" ht="13" x14ac:dyDescent="0.15">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spans="1:28" ht="13" x14ac:dyDescent="0.15">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spans="1:28" ht="13" x14ac:dyDescent="0.15">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spans="1:28" ht="13" x14ac:dyDescent="0.15">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spans="1:28" ht="13" x14ac:dyDescent="0.15">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spans="1:28" ht="13" x14ac:dyDescent="0.15">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spans="1:28" ht="13" x14ac:dyDescent="0.15">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spans="1:28" ht="13" x14ac:dyDescent="0.1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spans="1:28" ht="13" x14ac:dyDescent="0.15">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spans="1:28" ht="13" x14ac:dyDescent="0.15">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spans="1:28" ht="13" x14ac:dyDescent="0.15">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spans="1:28" ht="13" x14ac:dyDescent="0.15">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spans="1:28" ht="13" x14ac:dyDescent="0.15">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spans="1:28" ht="13" x14ac:dyDescent="0.15">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spans="1:28" ht="13" x14ac:dyDescent="0.15">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spans="1:28" ht="13" x14ac:dyDescent="0.15">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spans="1:28" ht="13" x14ac:dyDescent="0.15">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spans="1:28" ht="13" x14ac:dyDescent="0.1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spans="1:28" ht="13" x14ac:dyDescent="0.15">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spans="1:28" ht="13" x14ac:dyDescent="0.15">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spans="1:28" ht="13" x14ac:dyDescent="0.15">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spans="1:28" ht="13" x14ac:dyDescent="0.15">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spans="1:28" ht="13" x14ac:dyDescent="0.15">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spans="1:28" ht="13" x14ac:dyDescent="0.15">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spans="1:28" ht="13" x14ac:dyDescent="0.15">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spans="1:28" ht="13" x14ac:dyDescent="0.15">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spans="1:28" ht="13" x14ac:dyDescent="0.15">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spans="1:28" ht="13" x14ac:dyDescent="0.1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spans="1:28" ht="13" x14ac:dyDescent="0.15">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spans="1:28" ht="13" x14ac:dyDescent="0.15">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spans="1:28" ht="13" x14ac:dyDescent="0.15">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spans="1:28" ht="13" x14ac:dyDescent="0.15">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spans="1:28" ht="13" x14ac:dyDescent="0.15">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spans="1:28" ht="13" x14ac:dyDescent="0.15">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spans="1:28" ht="13" x14ac:dyDescent="0.15">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spans="1:28" ht="13" x14ac:dyDescent="0.15">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spans="1:28" ht="13" x14ac:dyDescent="0.15">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spans="1:28" ht="13" x14ac:dyDescent="0.1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spans="1:28" ht="13" x14ac:dyDescent="0.15">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spans="1:28" ht="13" x14ac:dyDescent="0.15">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spans="1:28" ht="13" x14ac:dyDescent="0.15">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spans="1:28" ht="13" x14ac:dyDescent="0.15">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spans="1:28" ht="13" x14ac:dyDescent="0.15">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spans="1:28" ht="13" x14ac:dyDescent="0.15">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spans="1:28" ht="13" x14ac:dyDescent="0.15">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spans="1:28" ht="13" x14ac:dyDescent="0.15">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spans="1:28" ht="13" x14ac:dyDescent="0.15">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spans="1:28" ht="13" x14ac:dyDescent="0.1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spans="1:28" ht="13" x14ac:dyDescent="0.15">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spans="1:28" ht="13" x14ac:dyDescent="0.15">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spans="1:28" ht="13" x14ac:dyDescent="0.15">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spans="1:28" ht="13" x14ac:dyDescent="0.15">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spans="1:28" ht="13" x14ac:dyDescent="0.15">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spans="1:28" ht="13" x14ac:dyDescent="0.15">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spans="1:28" ht="13" x14ac:dyDescent="0.15">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spans="1:28" ht="13" x14ac:dyDescent="0.15">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spans="1:28" ht="13" x14ac:dyDescent="0.15">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spans="1:28" ht="13" x14ac:dyDescent="0.1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spans="1:28" ht="13" x14ac:dyDescent="0.15">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spans="1:28" ht="13" x14ac:dyDescent="0.15">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spans="1:28" ht="13" x14ac:dyDescent="0.15">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spans="1:28" ht="13" x14ac:dyDescent="0.15">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spans="1:28" ht="13" x14ac:dyDescent="0.15">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spans="1:28" ht="13" x14ac:dyDescent="0.15">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spans="1:28" ht="13" x14ac:dyDescent="0.15">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spans="1:28" ht="13" x14ac:dyDescent="0.15">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spans="1:28" ht="13" x14ac:dyDescent="0.15">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spans="1:28" ht="13" x14ac:dyDescent="0.1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spans="1:28" ht="13" x14ac:dyDescent="0.15">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spans="1:28" ht="13" x14ac:dyDescent="0.15">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spans="1:28" ht="13" x14ac:dyDescent="0.15">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spans="1:28" ht="13" x14ac:dyDescent="0.15">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spans="1:28" ht="13" x14ac:dyDescent="0.15">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spans="1:28" ht="13" x14ac:dyDescent="0.15">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spans="1:28" ht="13" x14ac:dyDescent="0.15">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spans="1:28" ht="13" x14ac:dyDescent="0.15">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spans="1:28" ht="13" x14ac:dyDescent="0.15">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spans="1:28" ht="13" x14ac:dyDescent="0.1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spans="1:28" ht="13" x14ac:dyDescent="0.15">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spans="1:28" ht="13" x14ac:dyDescent="0.15">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spans="1:28" ht="13" x14ac:dyDescent="0.15">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spans="1:28" ht="13" x14ac:dyDescent="0.15">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spans="1:28" ht="13" x14ac:dyDescent="0.15">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spans="1:28" ht="13" x14ac:dyDescent="0.15">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spans="1:28" ht="13" x14ac:dyDescent="0.15">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spans="1:28" ht="13" x14ac:dyDescent="0.15">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spans="1:28" ht="13" x14ac:dyDescent="0.15">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spans="1:28" ht="13" x14ac:dyDescent="0.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spans="1:28" ht="13" x14ac:dyDescent="0.15">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spans="1:28" ht="13" x14ac:dyDescent="0.15">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spans="1:28" ht="13" x14ac:dyDescent="0.15">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spans="1:28" ht="13" x14ac:dyDescent="0.15">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spans="1:28" ht="13" x14ac:dyDescent="0.15">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spans="1:28" ht="13" x14ac:dyDescent="0.15">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spans="1:28" ht="13" x14ac:dyDescent="0.15">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spans="1:28" ht="13" x14ac:dyDescent="0.15">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spans="1:28" ht="13" x14ac:dyDescent="0.15">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spans="1:28" ht="13" x14ac:dyDescent="0.1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spans="1:28" ht="13" x14ac:dyDescent="0.15">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spans="1:28" ht="13" x14ac:dyDescent="0.15">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spans="1:28" ht="13" x14ac:dyDescent="0.15">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spans="1:28" ht="13" x14ac:dyDescent="0.15">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spans="1:28" ht="13" x14ac:dyDescent="0.15">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spans="1:28" ht="13" x14ac:dyDescent="0.15">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spans="1:28" ht="13" x14ac:dyDescent="0.15">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spans="1:28" ht="13" x14ac:dyDescent="0.15">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spans="1:28" ht="13" x14ac:dyDescent="0.15">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spans="1:28" ht="13" x14ac:dyDescent="0.1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spans="1:28" ht="13" x14ac:dyDescent="0.15">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spans="1:28" ht="13" x14ac:dyDescent="0.15">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spans="1:28" ht="13" x14ac:dyDescent="0.15">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spans="1:28" ht="13" x14ac:dyDescent="0.15">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spans="1:28" ht="13" x14ac:dyDescent="0.15">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spans="1:28" ht="13" x14ac:dyDescent="0.15">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spans="1:28" ht="13" x14ac:dyDescent="0.15">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spans="1:28" ht="13" x14ac:dyDescent="0.15">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spans="1:28" ht="13" x14ac:dyDescent="0.15">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spans="1:28" ht="13" x14ac:dyDescent="0.1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spans="1:28" ht="13" x14ac:dyDescent="0.15">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spans="1:28" ht="13" x14ac:dyDescent="0.15">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spans="1:28" ht="13" x14ac:dyDescent="0.15">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spans="1:28" ht="13" x14ac:dyDescent="0.15">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spans="1:28" ht="13" x14ac:dyDescent="0.15">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spans="1:28" ht="13" x14ac:dyDescent="0.15">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spans="1:28" ht="13" x14ac:dyDescent="0.15">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spans="1:28" ht="13" x14ac:dyDescent="0.15">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spans="1:28" ht="13" x14ac:dyDescent="0.15">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spans="1:28" ht="13" x14ac:dyDescent="0.1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spans="1:28" ht="13" x14ac:dyDescent="0.15">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spans="1:28" ht="13" x14ac:dyDescent="0.15">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spans="1:28" ht="13" x14ac:dyDescent="0.15">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spans="1:28" ht="13" x14ac:dyDescent="0.15">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spans="1:28" ht="13" x14ac:dyDescent="0.15">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spans="1:28" ht="13" x14ac:dyDescent="0.15">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spans="1:28" ht="13" x14ac:dyDescent="0.15">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spans="1:28" ht="13" x14ac:dyDescent="0.15">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spans="1:28" ht="13" x14ac:dyDescent="0.15">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spans="1:28" ht="13" x14ac:dyDescent="0.1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spans="1:28" ht="13" x14ac:dyDescent="0.15">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spans="1:28" ht="13" x14ac:dyDescent="0.15">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spans="1:28" ht="13" x14ac:dyDescent="0.15">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spans="1:28" ht="13" x14ac:dyDescent="0.15">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spans="1:28" ht="13" x14ac:dyDescent="0.15">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spans="1:28" ht="13" x14ac:dyDescent="0.15">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spans="1:28" ht="13" x14ac:dyDescent="0.15">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spans="1:28" ht="13" x14ac:dyDescent="0.15">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spans="1:28" ht="13" x14ac:dyDescent="0.15">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spans="1:28" ht="13" x14ac:dyDescent="0.1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spans="1:28" ht="13" x14ac:dyDescent="0.15">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spans="1:28" ht="13" x14ac:dyDescent="0.15">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spans="1:28" ht="13" x14ac:dyDescent="0.15">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spans="1:28" ht="13" x14ac:dyDescent="0.15">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spans="1:28" ht="13" x14ac:dyDescent="0.15">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spans="1:28" ht="13" x14ac:dyDescent="0.15">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spans="1:28" ht="13" x14ac:dyDescent="0.15">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spans="1:28" ht="13" x14ac:dyDescent="0.15">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spans="1:28" ht="13" x14ac:dyDescent="0.15">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spans="1:28" ht="13" x14ac:dyDescent="0.1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spans="1:28" ht="13" x14ac:dyDescent="0.15">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spans="1:28" ht="13" x14ac:dyDescent="0.15">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spans="1:28" ht="13" x14ac:dyDescent="0.15">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spans="1:28" ht="13" x14ac:dyDescent="0.15">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spans="1:28" ht="13" x14ac:dyDescent="0.15">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spans="1:28" ht="13" x14ac:dyDescent="0.15">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spans="1:28" ht="13" x14ac:dyDescent="0.15">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spans="1:28" ht="13" x14ac:dyDescent="0.15">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spans="1:28" ht="13" x14ac:dyDescent="0.15">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spans="1:28" ht="13" x14ac:dyDescent="0.1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spans="1:28" ht="13" x14ac:dyDescent="0.15">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spans="1:28" ht="13" x14ac:dyDescent="0.15">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spans="1:28" ht="13" x14ac:dyDescent="0.15">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spans="1:28" ht="13" x14ac:dyDescent="0.15">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spans="1:28" ht="13" x14ac:dyDescent="0.15">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spans="1:28" ht="13" x14ac:dyDescent="0.15">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spans="1:28" ht="13" x14ac:dyDescent="0.15">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spans="1:28" ht="13" x14ac:dyDescent="0.15">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spans="1:28" ht="13" x14ac:dyDescent="0.15">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spans="1:28" ht="13" x14ac:dyDescent="0.1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spans="1:28" ht="13" x14ac:dyDescent="0.15">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spans="1:28" ht="13" x14ac:dyDescent="0.15">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spans="1:28" ht="13" x14ac:dyDescent="0.15">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spans="1:28" ht="13" x14ac:dyDescent="0.15">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spans="1:28" ht="13" x14ac:dyDescent="0.15">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spans="1:28" ht="13" x14ac:dyDescent="0.15">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spans="1:28" ht="13" x14ac:dyDescent="0.15">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spans="1:28" ht="13" x14ac:dyDescent="0.15">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spans="1:28" ht="13" x14ac:dyDescent="0.15">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spans="1:28" ht="13" x14ac:dyDescent="0.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spans="1:28" ht="13" x14ac:dyDescent="0.15">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spans="1:28" ht="13" x14ac:dyDescent="0.15">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spans="1:28" ht="13" x14ac:dyDescent="0.15">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spans="1:28" ht="13" x14ac:dyDescent="0.15">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spans="1:28" ht="13" x14ac:dyDescent="0.15">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spans="1:28" ht="13" x14ac:dyDescent="0.15">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spans="1:28" ht="13" x14ac:dyDescent="0.15">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spans="1:28" ht="13" x14ac:dyDescent="0.15">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spans="1:28" ht="13" x14ac:dyDescent="0.15">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spans="1:28" ht="13" x14ac:dyDescent="0.1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spans="1:28" ht="13" x14ac:dyDescent="0.15">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spans="1:28" ht="13" x14ac:dyDescent="0.15">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spans="1:28" ht="13" x14ac:dyDescent="0.15">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spans="1:28" ht="13" x14ac:dyDescent="0.15">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spans="1:28" ht="13" x14ac:dyDescent="0.15">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spans="1:28" ht="13" x14ac:dyDescent="0.15">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spans="1:28" ht="13" x14ac:dyDescent="0.15">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spans="1:28" ht="13" x14ac:dyDescent="0.15">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spans="1:28" ht="13" x14ac:dyDescent="0.15">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spans="1:28" ht="13" x14ac:dyDescent="0.1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spans="1:28" ht="13" x14ac:dyDescent="0.15">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spans="1:28" ht="13" x14ac:dyDescent="0.15">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spans="1:28" ht="13" x14ac:dyDescent="0.15">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spans="1:28" ht="13" x14ac:dyDescent="0.15">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spans="1:28" ht="13" x14ac:dyDescent="0.15">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spans="1:28" ht="13" x14ac:dyDescent="0.15">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spans="1:28" ht="13" x14ac:dyDescent="0.15">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spans="1:28" ht="13" x14ac:dyDescent="0.15">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spans="1:28" ht="13" x14ac:dyDescent="0.15">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spans="1:28" ht="13" x14ac:dyDescent="0.1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spans="1:28" ht="13" x14ac:dyDescent="0.15">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spans="1:28" ht="13" x14ac:dyDescent="0.15">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spans="1:28" ht="13" x14ac:dyDescent="0.15">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spans="1:28" ht="13" x14ac:dyDescent="0.15">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spans="1:28" ht="13" x14ac:dyDescent="0.15">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spans="1:28" ht="13" x14ac:dyDescent="0.15">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spans="1:28" ht="13" x14ac:dyDescent="0.15">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spans="1:28" ht="13" x14ac:dyDescent="0.15">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spans="1:28" ht="13" x14ac:dyDescent="0.15">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spans="1:28" ht="13" x14ac:dyDescent="0.1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spans="1:28" ht="13" x14ac:dyDescent="0.15">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spans="1:28" ht="13" x14ac:dyDescent="0.15">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spans="1:28" ht="13" x14ac:dyDescent="0.15">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spans="1:28" ht="13" x14ac:dyDescent="0.15">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spans="1:28" ht="13" x14ac:dyDescent="0.15">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spans="1:28" ht="13" x14ac:dyDescent="0.15">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spans="1:28" ht="13" x14ac:dyDescent="0.15">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spans="1:28" ht="13" x14ac:dyDescent="0.15">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spans="1:28" ht="13" x14ac:dyDescent="0.15">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spans="1:28" ht="13" x14ac:dyDescent="0.1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spans="1:28" ht="13" x14ac:dyDescent="0.15">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spans="1:28" ht="13" x14ac:dyDescent="0.15">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spans="1:28" ht="13" x14ac:dyDescent="0.15">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spans="1:28" ht="13" x14ac:dyDescent="0.15">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spans="1:28" ht="13" x14ac:dyDescent="0.15">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spans="1:28" ht="13" x14ac:dyDescent="0.15">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spans="1:28" ht="13" x14ac:dyDescent="0.15">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spans="1:28" ht="13" x14ac:dyDescent="0.15">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spans="1:28" ht="13" x14ac:dyDescent="0.15">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spans="1:28" ht="13" x14ac:dyDescent="0.1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spans="1:28" ht="13" x14ac:dyDescent="0.15">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spans="1:28" ht="13" x14ac:dyDescent="0.15">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spans="1:28" ht="13" x14ac:dyDescent="0.15">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spans="1:28" ht="13" x14ac:dyDescent="0.15">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spans="1:28" ht="13" x14ac:dyDescent="0.15">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spans="1:28" ht="13" x14ac:dyDescent="0.15">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spans="1:28" ht="13" x14ac:dyDescent="0.15">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spans="1:28" ht="13" x14ac:dyDescent="0.15">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spans="1:28" ht="13" x14ac:dyDescent="0.15">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spans="1:28" ht="13" x14ac:dyDescent="0.1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spans="1:28" ht="13" x14ac:dyDescent="0.15">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spans="1:28" ht="13" x14ac:dyDescent="0.15">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spans="1:28" ht="13" x14ac:dyDescent="0.15">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spans="1:28" ht="13" x14ac:dyDescent="0.15">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spans="1:28" ht="13" x14ac:dyDescent="0.15">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spans="1:28" ht="13" x14ac:dyDescent="0.15">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spans="1:28" ht="13" x14ac:dyDescent="0.15">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spans="1:28" ht="13" x14ac:dyDescent="0.15">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spans="1:28" ht="13" x14ac:dyDescent="0.15">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spans="1:28" ht="13" x14ac:dyDescent="0.1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spans="1:28" ht="13" x14ac:dyDescent="0.15">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spans="1:28" ht="13" x14ac:dyDescent="0.15">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spans="1:28" ht="13" x14ac:dyDescent="0.15">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spans="1:28" ht="13" x14ac:dyDescent="0.15">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spans="1:28" ht="13" x14ac:dyDescent="0.15">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spans="1:28" ht="13" x14ac:dyDescent="0.15">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spans="1:28" ht="13" x14ac:dyDescent="0.15">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spans="1:28" ht="13" x14ac:dyDescent="0.15">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spans="1:28" ht="13" x14ac:dyDescent="0.15">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spans="1:28" ht="13" x14ac:dyDescent="0.1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spans="1:28" ht="13" x14ac:dyDescent="0.15">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spans="1:28" ht="13" x14ac:dyDescent="0.15">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spans="1:28" ht="13" x14ac:dyDescent="0.15">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spans="1:28" ht="13" x14ac:dyDescent="0.15">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spans="1:28" ht="13" x14ac:dyDescent="0.15">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spans="1:28" ht="13" x14ac:dyDescent="0.15">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spans="1:28" ht="13" x14ac:dyDescent="0.15">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spans="1:28" ht="13" x14ac:dyDescent="0.15">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spans="1:28" ht="13" x14ac:dyDescent="0.15">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spans="1:28" ht="13" x14ac:dyDescent="0.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spans="1:28" ht="13" x14ac:dyDescent="0.15">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spans="1:28" ht="13" x14ac:dyDescent="0.15">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spans="1:28" ht="13" x14ac:dyDescent="0.15">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spans="1:28" ht="13" x14ac:dyDescent="0.15">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spans="1:28" ht="13" x14ac:dyDescent="0.15">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spans="1:28" ht="13" x14ac:dyDescent="0.15">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spans="1:28" ht="13" x14ac:dyDescent="0.15">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spans="1:28" ht="13" x14ac:dyDescent="0.15">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spans="1:28" ht="13" x14ac:dyDescent="0.15">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spans="1:28" ht="13" x14ac:dyDescent="0.1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spans="1:28" ht="13" x14ac:dyDescent="0.15">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spans="1:28" ht="13" x14ac:dyDescent="0.15">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spans="1:28" ht="13" x14ac:dyDescent="0.15">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spans="1:28" ht="13" x14ac:dyDescent="0.15">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spans="1:28" ht="13" x14ac:dyDescent="0.15">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spans="1:28" ht="13" x14ac:dyDescent="0.15">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spans="1:28" ht="13" x14ac:dyDescent="0.15">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spans="1:28" ht="13" x14ac:dyDescent="0.15">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spans="1:28" ht="13" x14ac:dyDescent="0.15">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spans="1:28" ht="13" x14ac:dyDescent="0.1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spans="1:28" ht="13" x14ac:dyDescent="0.15">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spans="1:28" ht="13" x14ac:dyDescent="0.15">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spans="1:28" ht="13" x14ac:dyDescent="0.15">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spans="1:28" ht="13" x14ac:dyDescent="0.15">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spans="1:28" ht="13" x14ac:dyDescent="0.15">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spans="1:28" ht="13" x14ac:dyDescent="0.15">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spans="1:28" ht="13" x14ac:dyDescent="0.15">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spans="1:28" ht="13" x14ac:dyDescent="0.15">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spans="1:28" ht="13" x14ac:dyDescent="0.15">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spans="1:28" ht="13" x14ac:dyDescent="0.1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spans="1:28" ht="13" x14ac:dyDescent="0.15">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spans="1:28" ht="13" x14ac:dyDescent="0.15">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spans="1:28" ht="13" x14ac:dyDescent="0.15">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spans="1:28" ht="13" x14ac:dyDescent="0.15">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spans="1:28" ht="13" x14ac:dyDescent="0.15">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spans="1:28" ht="13" x14ac:dyDescent="0.15">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spans="1:28" ht="13" x14ac:dyDescent="0.15">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spans="1:28" ht="13" x14ac:dyDescent="0.15">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spans="1:28" ht="13" x14ac:dyDescent="0.15">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spans="1:28" ht="13" x14ac:dyDescent="0.1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spans="1:28" ht="13" x14ac:dyDescent="0.15">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spans="1:28" ht="13" x14ac:dyDescent="0.15">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spans="1:28" ht="13" x14ac:dyDescent="0.15">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spans="1:28" ht="13" x14ac:dyDescent="0.15">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spans="1:28" ht="13" x14ac:dyDescent="0.15">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spans="1:28" ht="13" x14ac:dyDescent="0.15">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spans="1:28" ht="13" x14ac:dyDescent="0.15">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spans="1:28" ht="13" x14ac:dyDescent="0.15">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spans="1:28" ht="13" x14ac:dyDescent="0.15">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spans="1:28" ht="13" x14ac:dyDescent="0.1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spans="1:28" ht="13" x14ac:dyDescent="0.15">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spans="1:28" ht="13" x14ac:dyDescent="0.15">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spans="1:28" ht="13" x14ac:dyDescent="0.15">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spans="1:28" ht="13" x14ac:dyDescent="0.15">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spans="1:28" ht="13" x14ac:dyDescent="0.15">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spans="1:28" ht="13" x14ac:dyDescent="0.15">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spans="1:28" ht="13" x14ac:dyDescent="0.15">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spans="1:28" ht="13" x14ac:dyDescent="0.15">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spans="1:28" ht="13" x14ac:dyDescent="0.15">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spans="1:28" ht="13" x14ac:dyDescent="0.1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spans="1:28" ht="13" x14ac:dyDescent="0.15">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spans="1:28" ht="13" x14ac:dyDescent="0.15">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spans="1:28" ht="13" x14ac:dyDescent="0.15">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spans="1:28" ht="13" x14ac:dyDescent="0.15">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spans="1:28" ht="13" x14ac:dyDescent="0.15">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spans="1:28" ht="13" x14ac:dyDescent="0.15">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spans="1:28" ht="13" x14ac:dyDescent="0.15">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spans="1:28" ht="13" x14ac:dyDescent="0.15">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spans="1:28" ht="13" x14ac:dyDescent="0.15">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spans="1:28" ht="13" x14ac:dyDescent="0.1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spans="1:28" ht="13" x14ac:dyDescent="0.15">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spans="1:28" ht="13" x14ac:dyDescent="0.15">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spans="1:28" ht="13" x14ac:dyDescent="0.15">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spans="1:28" ht="13" x14ac:dyDescent="0.15">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spans="1:28" ht="13" x14ac:dyDescent="0.15">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spans="1:28" ht="13" x14ac:dyDescent="0.15">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spans="1:28" ht="13" x14ac:dyDescent="0.15">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spans="1:28" ht="13" x14ac:dyDescent="0.15">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spans="1:28" ht="13" x14ac:dyDescent="0.15">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spans="1:28" ht="13" x14ac:dyDescent="0.1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spans="1:28" ht="13" x14ac:dyDescent="0.15">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spans="1:28" ht="13" x14ac:dyDescent="0.15">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spans="1:28" ht="13" x14ac:dyDescent="0.15">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spans="1:28" ht="13" x14ac:dyDescent="0.15">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spans="1:28" ht="13" x14ac:dyDescent="0.15">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spans="1:28" ht="13" x14ac:dyDescent="0.15">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spans="1:28" ht="13" x14ac:dyDescent="0.15">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spans="1:28" ht="13" x14ac:dyDescent="0.15">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spans="1:28" ht="13" x14ac:dyDescent="0.15">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spans="1:28" ht="13" x14ac:dyDescent="0.1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spans="1:28" ht="13" x14ac:dyDescent="0.15">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spans="1:28" ht="13" x14ac:dyDescent="0.15">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spans="1:28" ht="13" x14ac:dyDescent="0.15">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spans="1:28" ht="13" x14ac:dyDescent="0.15">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spans="1:28" ht="13" x14ac:dyDescent="0.15">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spans="1:28" ht="13" x14ac:dyDescent="0.15">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spans="1:28" ht="13" x14ac:dyDescent="0.15">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spans="1:28" ht="13" x14ac:dyDescent="0.15">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spans="1:28" ht="13" x14ac:dyDescent="0.15">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spans="1:28" ht="13" x14ac:dyDescent="0.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spans="1:28" ht="13" x14ac:dyDescent="0.15">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spans="1:28" ht="13" x14ac:dyDescent="0.15">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spans="1:28" ht="13" x14ac:dyDescent="0.15">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spans="1:28" ht="13" x14ac:dyDescent="0.15">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spans="1:28" ht="13" x14ac:dyDescent="0.15">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spans="1:28" ht="13" x14ac:dyDescent="0.15">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spans="1:28" ht="13" x14ac:dyDescent="0.15">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spans="1:28" ht="13" x14ac:dyDescent="0.15">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spans="1:28" ht="13" x14ac:dyDescent="0.15">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spans="1:28" ht="13" x14ac:dyDescent="0.1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spans="1:28" ht="13" x14ac:dyDescent="0.15">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spans="1:28" ht="13" x14ac:dyDescent="0.15">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spans="1:28" ht="13" x14ac:dyDescent="0.15">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spans="1:28" ht="13" x14ac:dyDescent="0.15">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spans="1:28" ht="13" x14ac:dyDescent="0.15">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spans="1:28" ht="13" x14ac:dyDescent="0.15">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spans="1:28" ht="13" x14ac:dyDescent="0.15">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spans="1:28" ht="13" x14ac:dyDescent="0.15">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spans="1:28" ht="13" x14ac:dyDescent="0.15">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spans="1:28" ht="13" x14ac:dyDescent="0.1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spans="1:28" ht="13" x14ac:dyDescent="0.15">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spans="1:28" ht="13" x14ac:dyDescent="0.15">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spans="1:28" ht="13" x14ac:dyDescent="0.15">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spans="1:28" ht="13" x14ac:dyDescent="0.15">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spans="1:28" ht="13" x14ac:dyDescent="0.15">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spans="1:28" ht="13" x14ac:dyDescent="0.15">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spans="1:28" ht="13" x14ac:dyDescent="0.15">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spans="1:28" ht="13" x14ac:dyDescent="0.15">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spans="1:28" ht="13" x14ac:dyDescent="0.15">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spans="1:28" ht="13" x14ac:dyDescent="0.1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spans="1:28" ht="13" x14ac:dyDescent="0.15">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spans="1:28" ht="13" x14ac:dyDescent="0.15">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spans="1:28" ht="13" x14ac:dyDescent="0.15">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spans="1:28" ht="13" x14ac:dyDescent="0.15">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spans="1:28" ht="13" x14ac:dyDescent="0.15">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spans="1:28" ht="13" x14ac:dyDescent="0.15">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spans="1:28" ht="13" x14ac:dyDescent="0.15">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spans="1:28" ht="13" x14ac:dyDescent="0.15">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spans="1:28" ht="13" x14ac:dyDescent="0.15">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spans="1:28" ht="13" x14ac:dyDescent="0.1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spans="1:28" ht="13" x14ac:dyDescent="0.15">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spans="1:28" ht="13" x14ac:dyDescent="0.15">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spans="1:28" ht="13" x14ac:dyDescent="0.15">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spans="1:28" ht="13" x14ac:dyDescent="0.15">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spans="1:28" ht="13" x14ac:dyDescent="0.15">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spans="1:28" ht="13" x14ac:dyDescent="0.15">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spans="1:28" ht="13" x14ac:dyDescent="0.15">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spans="1:28" ht="13" x14ac:dyDescent="0.15">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spans="1:28" ht="13" x14ac:dyDescent="0.15">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spans="1:28" ht="13" x14ac:dyDescent="0.1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spans="1:28" ht="13" x14ac:dyDescent="0.15">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spans="1:28" ht="13" x14ac:dyDescent="0.15">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spans="1:28" ht="13" x14ac:dyDescent="0.15">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spans="1:28" ht="13" x14ac:dyDescent="0.15">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spans="1:28" ht="13" x14ac:dyDescent="0.15">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spans="1:28" ht="13" x14ac:dyDescent="0.15">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spans="1:28" ht="13" x14ac:dyDescent="0.15">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spans="1:28" ht="13" x14ac:dyDescent="0.15">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spans="1:28" ht="13" x14ac:dyDescent="0.15">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spans="1:28" ht="13" x14ac:dyDescent="0.1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spans="1:28" ht="13" x14ac:dyDescent="0.15">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spans="1:28" ht="13" x14ac:dyDescent="0.15">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spans="1:28" ht="13" x14ac:dyDescent="0.15">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spans="1:28" ht="13" x14ac:dyDescent="0.15">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spans="1:28" ht="13" x14ac:dyDescent="0.15">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spans="1:28" ht="13" x14ac:dyDescent="0.15">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spans="1:28" ht="13" x14ac:dyDescent="0.15">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spans="1:28" ht="13" x14ac:dyDescent="0.15">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spans="1:28" ht="13" x14ac:dyDescent="0.15">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spans="1:28" ht="13" x14ac:dyDescent="0.1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spans="1:28" ht="13" x14ac:dyDescent="0.15">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spans="1:28" ht="13" x14ac:dyDescent="0.15">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spans="1:28" ht="13" x14ac:dyDescent="0.15">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spans="1:28" ht="13" x14ac:dyDescent="0.15">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spans="1:28" ht="13" x14ac:dyDescent="0.15">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spans="1:28" ht="13" x14ac:dyDescent="0.15">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spans="1:28" ht="13" x14ac:dyDescent="0.15">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spans="1:28" ht="13" x14ac:dyDescent="0.15">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spans="1:28" ht="13" x14ac:dyDescent="0.15">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spans="1:28" ht="13" x14ac:dyDescent="0.1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spans="1:28" ht="13" x14ac:dyDescent="0.15">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spans="1:28" ht="13" x14ac:dyDescent="0.15">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spans="1:28" ht="13" x14ac:dyDescent="0.15">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spans="1:28" ht="13" x14ac:dyDescent="0.15">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spans="1:28" ht="13" x14ac:dyDescent="0.15">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spans="1:28" ht="13" x14ac:dyDescent="0.15">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spans="1:28" ht="13" x14ac:dyDescent="0.15">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spans="1:28" ht="13" x14ac:dyDescent="0.15">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spans="1:28" ht="13" x14ac:dyDescent="0.15">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spans="1:28" ht="13" x14ac:dyDescent="0.1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spans="1:28" ht="13" x14ac:dyDescent="0.15">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spans="1:28" ht="13" x14ac:dyDescent="0.15">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spans="1:28" ht="13" x14ac:dyDescent="0.15">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spans="1:28" ht="13" x14ac:dyDescent="0.15">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spans="1:28" ht="13" x14ac:dyDescent="0.15">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spans="1:28" ht="13" x14ac:dyDescent="0.15">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spans="1:28" ht="13" x14ac:dyDescent="0.15">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spans="1:28" ht="13" x14ac:dyDescent="0.15">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spans="1:28" ht="13" x14ac:dyDescent="0.15">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spans="1:28" ht="13" x14ac:dyDescent="0.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spans="1:28" ht="13" x14ac:dyDescent="0.15">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spans="1:28" ht="13" x14ac:dyDescent="0.15">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spans="1:28" ht="13" x14ac:dyDescent="0.15">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spans="1:28" ht="13" x14ac:dyDescent="0.15">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spans="1:28" ht="13" x14ac:dyDescent="0.15">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spans="1:28" ht="13" x14ac:dyDescent="0.15">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spans="1:28" ht="13" x14ac:dyDescent="0.15">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spans="1:28" ht="13" x14ac:dyDescent="0.15">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spans="1:28" ht="13" x14ac:dyDescent="0.15">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spans="1:28" ht="13" x14ac:dyDescent="0.1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spans="1:28" ht="13" x14ac:dyDescent="0.15">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spans="1:28" ht="13" x14ac:dyDescent="0.15">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spans="1:28" ht="13" x14ac:dyDescent="0.15">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spans="1:28" ht="13" x14ac:dyDescent="0.15">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spans="1:28" ht="13" x14ac:dyDescent="0.15">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spans="1:28" ht="13" x14ac:dyDescent="0.15">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spans="1:28" ht="13" x14ac:dyDescent="0.15">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spans="1:28" ht="13" x14ac:dyDescent="0.15">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spans="1:28" ht="13" x14ac:dyDescent="0.15">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spans="1:28" ht="13" x14ac:dyDescent="0.1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spans="1:28" ht="13" x14ac:dyDescent="0.15">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spans="1:28" ht="13" x14ac:dyDescent="0.15">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spans="1:28" ht="13" x14ac:dyDescent="0.15">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spans="1:28" ht="13" x14ac:dyDescent="0.15">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spans="1:28" ht="13" x14ac:dyDescent="0.15">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spans="1:28" ht="13" x14ac:dyDescent="0.15">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spans="1:28" ht="13" x14ac:dyDescent="0.15">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spans="1:28" ht="13" x14ac:dyDescent="0.15">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spans="1:28" ht="13" x14ac:dyDescent="0.15">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spans="1:28" ht="13" x14ac:dyDescent="0.1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spans="1:28" ht="13" x14ac:dyDescent="0.15">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spans="1:28" ht="13" x14ac:dyDescent="0.15">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spans="1:28" ht="13" x14ac:dyDescent="0.15">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spans="1:28" ht="13" x14ac:dyDescent="0.15">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spans="1:28" ht="13" x14ac:dyDescent="0.15">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spans="1:28" ht="13" x14ac:dyDescent="0.15">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spans="1:28" ht="13" x14ac:dyDescent="0.15">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spans="1:28" ht="13" x14ac:dyDescent="0.15">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spans="1:28" ht="13" x14ac:dyDescent="0.15">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spans="1:28" ht="13" x14ac:dyDescent="0.1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spans="1:28" ht="13" x14ac:dyDescent="0.15">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spans="1:28" ht="13" x14ac:dyDescent="0.15">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spans="1:28" ht="13" x14ac:dyDescent="0.15">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spans="1:28" ht="13" x14ac:dyDescent="0.15">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spans="1:28" ht="13" x14ac:dyDescent="0.15">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spans="1:28" ht="13" x14ac:dyDescent="0.15">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spans="1:28" ht="13" x14ac:dyDescent="0.15">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spans="1:28" ht="13" x14ac:dyDescent="0.15">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spans="1:28" ht="13" x14ac:dyDescent="0.15">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spans="1:28" ht="13" x14ac:dyDescent="0.1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spans="1:28" ht="13" x14ac:dyDescent="0.15">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spans="1:28" ht="13" x14ac:dyDescent="0.15">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spans="1:28" ht="13" x14ac:dyDescent="0.15">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spans="1:28" ht="13" x14ac:dyDescent="0.15">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spans="1:28" ht="13" x14ac:dyDescent="0.15">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spans="1:28" ht="13" x14ac:dyDescent="0.15">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spans="1:28" ht="13" x14ac:dyDescent="0.15">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spans="1:28" ht="13" x14ac:dyDescent="0.15">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spans="1:28" ht="13" x14ac:dyDescent="0.15">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spans="1:28" ht="13" x14ac:dyDescent="0.1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spans="1:28" ht="13" x14ac:dyDescent="0.15">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spans="1:28" ht="13" x14ac:dyDescent="0.15">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spans="1:28" ht="13" x14ac:dyDescent="0.15">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spans="1:28" ht="13" x14ac:dyDescent="0.15">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spans="1:28" ht="13" x14ac:dyDescent="0.15">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spans="1:28" ht="13" x14ac:dyDescent="0.15">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spans="1:28" ht="13" x14ac:dyDescent="0.15">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spans="1:28" ht="13" x14ac:dyDescent="0.15">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spans="1:28" ht="13" x14ac:dyDescent="0.15">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spans="1:28" ht="13" x14ac:dyDescent="0.1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spans="1:28" ht="13" x14ac:dyDescent="0.15">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spans="1:28" ht="13" x14ac:dyDescent="0.15">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spans="1:28" ht="13" x14ac:dyDescent="0.15">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spans="1:28" ht="13" x14ac:dyDescent="0.15">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spans="1:28" ht="13" x14ac:dyDescent="0.15">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spans="1:28" ht="13" x14ac:dyDescent="0.15">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spans="1:28" ht="13" x14ac:dyDescent="0.15">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spans="1:28" ht="13" x14ac:dyDescent="0.15">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spans="1:28" ht="13" x14ac:dyDescent="0.15">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19"/>
  <sheetViews>
    <sheetView workbookViewId="0"/>
  </sheetViews>
  <sheetFormatPr baseColWidth="10" defaultColWidth="14.5" defaultRowHeight="15.75" customHeight="1" x14ac:dyDescent="0.15"/>
  <cols>
    <col min="1" max="1" width="25.5" customWidth="1"/>
    <col min="2" max="12" width="19.5" customWidth="1"/>
  </cols>
  <sheetData>
    <row r="1" spans="1:28" ht="18" x14ac:dyDescent="0.2">
      <c r="A1" s="1"/>
      <c r="B1" s="2"/>
      <c r="C1" s="1"/>
      <c r="D1" s="3" t="s">
        <v>0</v>
      </c>
      <c r="E1" s="1"/>
      <c r="F1" s="1"/>
      <c r="G1" s="1"/>
      <c r="H1" s="4"/>
      <c r="I1" s="1"/>
      <c r="J1" s="5"/>
      <c r="K1" s="5"/>
      <c r="L1" s="6"/>
      <c r="M1" s="6"/>
      <c r="N1" s="6"/>
      <c r="O1" s="6"/>
      <c r="P1" s="6"/>
      <c r="Q1" s="6"/>
      <c r="R1" s="6"/>
      <c r="S1" s="6"/>
      <c r="T1" s="6"/>
      <c r="U1" s="6"/>
      <c r="V1" s="6"/>
      <c r="W1" s="6"/>
      <c r="X1" s="6"/>
      <c r="Y1" s="6"/>
      <c r="Z1" s="6"/>
      <c r="AA1" s="6"/>
      <c r="AB1" s="6"/>
    </row>
    <row r="2" spans="1:28" ht="15.75" customHeight="1" x14ac:dyDescent="0.15">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spans="1:28" ht="15.75" customHeight="1" x14ac:dyDescent="0.15">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spans="1:28" ht="15.75" customHeight="1" x14ac:dyDescent="0.15">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spans="1:28" ht="15.75" customHeight="1" x14ac:dyDescent="0.1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spans="1:28" ht="15.75" customHeight="1" x14ac:dyDescent="0.15">
      <c r="A6" s="1"/>
      <c r="B6" s="10"/>
      <c r="C6" s="10"/>
      <c r="D6" s="10"/>
      <c r="E6" s="11"/>
      <c r="F6" s="10"/>
      <c r="G6" s="11"/>
      <c r="H6" s="12"/>
      <c r="I6" s="1"/>
      <c r="J6" s="9"/>
      <c r="K6" s="5"/>
      <c r="L6" s="6"/>
      <c r="M6" s="6"/>
      <c r="N6" s="6"/>
      <c r="O6" s="6"/>
      <c r="P6" s="6"/>
      <c r="Q6" s="6"/>
      <c r="R6" s="6"/>
      <c r="S6" s="6"/>
      <c r="T6" s="6"/>
      <c r="U6" s="6"/>
      <c r="V6" s="6"/>
      <c r="W6" s="6"/>
      <c r="X6" s="6"/>
      <c r="Y6" s="6"/>
      <c r="Z6" s="6"/>
      <c r="AA6" s="6"/>
      <c r="AB6" s="6"/>
    </row>
    <row r="7" spans="1:28" ht="15.75" customHeight="1" x14ac:dyDescent="0.15">
      <c r="A7" s="16"/>
      <c r="B7" s="17"/>
      <c r="C7" s="17"/>
      <c r="D7" s="17"/>
      <c r="E7" s="17"/>
      <c r="F7" s="17"/>
      <c r="G7" s="17"/>
      <c r="H7" s="17"/>
      <c r="I7" s="1"/>
      <c r="J7" s="5"/>
      <c r="K7" s="5"/>
      <c r="L7" s="6"/>
      <c r="M7" s="6"/>
      <c r="N7" s="6"/>
      <c r="O7" s="6"/>
      <c r="P7" s="6"/>
      <c r="Q7" s="6"/>
      <c r="R7" s="6"/>
      <c r="S7" s="6"/>
      <c r="T7" s="6"/>
      <c r="U7" s="6"/>
      <c r="V7" s="6"/>
      <c r="W7" s="6"/>
      <c r="X7" s="6"/>
      <c r="Y7" s="6"/>
      <c r="Z7" s="6"/>
      <c r="AA7" s="6"/>
      <c r="AB7" s="6"/>
    </row>
    <row r="8" spans="1:28" ht="15.75" customHeight="1" x14ac:dyDescent="0.15">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spans="1:28" ht="15.75" customHeight="1" x14ac:dyDescent="0.15">
      <c r="A9" s="21" t="s">
        <v>1054</v>
      </c>
      <c r="B9" s="22" t="s">
        <v>1055</v>
      </c>
      <c r="C9" s="23" t="str">
        <f ca="1">IFERROR(__xludf.DUMMYFUNCTION("GOOGLETRANSLATE(B9, ""en"", ""fr"")"),"Tuer des rats")</f>
        <v>Tuer des rats</v>
      </c>
      <c r="D9" s="23" t="str">
        <f ca="1">IFERROR(__xludf.DUMMYFUNCTION("GOOGLETRANSLATE(B9, ""en"", ""es"")"),"Matar ratas")</f>
        <v>Matar ratas</v>
      </c>
      <c r="E9" s="23" t="str">
        <f ca="1">IFERROR(__xludf.DUMMYFUNCTION("GOOGLETRANSLATE(B9, ""en"", ""ru"")"),"Убить крыс")</f>
        <v>Убить крыс</v>
      </c>
      <c r="F9" s="23" t="str">
        <f ca="1">IFERROR(__xludf.DUMMYFUNCTION("GOOGLETRANSLATE(B9, ""en"", ""tr"")"),"Sıçanları öldür")</f>
        <v>Sıçanları öldür</v>
      </c>
      <c r="G9" s="23" t="str">
        <f ca="1">IFERROR(__xludf.DUMMYFUNCTION("GOOGLETRANSLATE(B9, ""en"", ""pt"")"),"Matar ratos")</f>
        <v>Matar ratos</v>
      </c>
      <c r="H9" s="24" t="str">
        <f ca="1">IFERROR(__xludf.DUMMYFUNCTION("GOOGLETRANSLATE(B9, ""en"", ""de"")"),"Töte Ratten")</f>
        <v>Töte Ratten</v>
      </c>
      <c r="I9" s="23" t="str">
        <f ca="1">IFERROR(__xludf.DUMMYFUNCTION("GOOGLETRANSLATE(B9, ""en"", ""pl"")"),"Zabij szczury")</f>
        <v>Zabij szczury</v>
      </c>
      <c r="J9" s="25" t="str">
        <f ca="1">IFERROR(__xludf.DUMMYFUNCTION("GOOGLETRANSLATE(B9, ""en"", ""zh"")"),"杀死大鼠")</f>
        <v>杀死大鼠</v>
      </c>
      <c r="K9" s="25" t="str">
        <f ca="1">IFERROR(__xludf.DUMMYFUNCTION("GOOGLETRANSLATE(B9, ""en"", ""vi"")"),"Giết chuột")</f>
        <v>Giết chuột</v>
      </c>
      <c r="L9" s="26" t="str">
        <f ca="1">IFERROR(__xludf.DUMMYFUNCTION("GOOGLETRANSLATE(B9, ""en"", ""hr"")"),"Ubiti štakore")</f>
        <v>Ubiti štakore</v>
      </c>
      <c r="M9" s="28"/>
      <c r="N9" s="28"/>
      <c r="O9" s="28"/>
      <c r="P9" s="28"/>
      <c r="Q9" s="28"/>
      <c r="R9" s="28"/>
      <c r="S9" s="28"/>
      <c r="T9" s="28"/>
      <c r="U9" s="28"/>
      <c r="V9" s="28"/>
      <c r="W9" s="28"/>
      <c r="X9" s="28"/>
      <c r="Y9" s="28"/>
      <c r="Z9" s="28"/>
      <c r="AA9" s="28"/>
      <c r="AB9" s="28"/>
    </row>
    <row r="10" spans="1:28" ht="15.75" customHeight="1" x14ac:dyDescent="0.15">
      <c r="A10" s="21" t="s">
        <v>1056</v>
      </c>
      <c r="B10" s="22" t="s">
        <v>1057</v>
      </c>
      <c r="C10" s="23" t="str">
        <f ca="1">IFERROR(__xludf.DUMMYFUNCTION("GOOGLETRANSLATE(B10, ""en"", ""fr"")"),"Tuer des chauves-souris")</f>
        <v>Tuer des chauves-souris</v>
      </c>
      <c r="D10" s="23" t="str">
        <f ca="1">IFERROR(__xludf.DUMMYFUNCTION("GOOGLETRANSLATE(B10, ""en"", ""es"")"),"Matar a los murciélagos")</f>
        <v>Matar a los murciélagos</v>
      </c>
      <c r="E10" s="23" t="str">
        <f ca="1">IFERROR(__xludf.DUMMYFUNCTION("GOOGLETRANSLATE(B10, ""en"", ""ru"")"),"Убивать летучие мыши")</f>
        <v>Убивать летучие мыши</v>
      </c>
      <c r="F10" s="23" t="str">
        <f ca="1">IFERROR(__xludf.DUMMYFUNCTION("GOOGLETRANSLATE(B10, ""en"", ""tr"")"),"Yarasaları öldür")</f>
        <v>Yarasaları öldür</v>
      </c>
      <c r="G10" s="23" t="str">
        <f ca="1">IFERROR(__xludf.DUMMYFUNCTION("GOOGLETRANSLATE(B10, ""en"", ""pt"")"),"Matar morcegos.")</f>
        <v>Matar morcegos.</v>
      </c>
      <c r="H10" s="24" t="str">
        <f ca="1">IFERROR(__xludf.DUMMYFUNCTION("GOOGLETRANSLATE(B10, ""en"", ""de"")"),"Töte Fledermäuse")</f>
        <v>Töte Fledermäuse</v>
      </c>
      <c r="I10" s="23" t="str">
        <f ca="1">IFERROR(__xludf.DUMMYFUNCTION("GOOGLETRANSLATE(B10, ""en"", ""pl"")"),"Zabij nietoperze")</f>
        <v>Zabij nietoperze</v>
      </c>
      <c r="J10" s="25" t="str">
        <f ca="1">IFERROR(__xludf.DUMMYFUNCTION("GOOGLETRANSLATE(B10, ""en"", ""zh"")"),"杀死蝙蝠")</f>
        <v>杀死蝙蝠</v>
      </c>
      <c r="K10" s="25" t="str">
        <f ca="1">IFERROR(__xludf.DUMMYFUNCTION("GOOGLETRANSLATE(B10, ""en"", ""vi"")"),"Giết dơi")</f>
        <v>Giết dơi</v>
      </c>
      <c r="L10" s="26" t="str">
        <f ca="1">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spans="1:28" ht="15.75" customHeight="1" x14ac:dyDescent="0.15">
      <c r="A11" s="21" t="s">
        <v>1058</v>
      </c>
      <c r="B11" s="22" t="s">
        <v>1059</v>
      </c>
      <c r="C11" s="23" t="str">
        <f ca="1">IFERROR(__xludf.DUMMYFUNCTION("GOOGLETRANSLATE(B11, ""en"", ""fr"")"),"Tuer des faucons")</f>
        <v>Tuer des faucons</v>
      </c>
      <c r="D11" s="23" t="str">
        <f ca="1">IFERROR(__xludf.DUMMYFUNCTION("GOOGLETRANSLATE(B11, ""en"", ""es"")"),"Matar a los halcones")</f>
        <v>Matar a los halcones</v>
      </c>
      <c r="E11" s="23" t="str">
        <f ca="1">IFERROR(__xludf.DUMMYFUNCTION("GOOGLETRANSLATE(B11, ""en"", ""ru"")"),"Убивать ястреб")</f>
        <v>Убивать ястреб</v>
      </c>
      <c r="F11" s="23" t="str">
        <f ca="1">IFERROR(__xludf.DUMMYFUNCTION("GOOGLETRANSLATE(B11, ""en"", ""tr"")"),"Hawks öldürmek")</f>
        <v>Hawks öldürmek</v>
      </c>
      <c r="G11" s="23" t="str">
        <f ca="1">IFERROR(__xludf.DUMMYFUNCTION("GOOGLETRANSLATE(B11, ""en"", ""pt"")"),"Matar falcões.")</f>
        <v>Matar falcões.</v>
      </c>
      <c r="H11" s="24" t="str">
        <f ca="1">IFERROR(__xludf.DUMMYFUNCTION("GOOGLETRANSLATE(B11, ""en"", ""de"")"),"Kill Hawks")</f>
        <v>Kill Hawks</v>
      </c>
      <c r="I11" s="23" t="str">
        <f ca="1">IFERROR(__xludf.DUMMYFUNCTION("GOOGLETRANSLATE(B11, ""en"", ""pl"")"),"Zabij Hawks.")</f>
        <v>Zabij Hawks.</v>
      </c>
      <c r="J11" s="25" t="str">
        <f ca="1">IFERROR(__xludf.DUMMYFUNCTION("GOOGLETRANSLATE(B11, ""en"", ""zh"")"),"杀老鹰")</f>
        <v>杀老鹰</v>
      </c>
      <c r="K11" s="25" t="str">
        <f ca="1">IFERROR(__xludf.DUMMYFUNCTION("GOOGLETRANSLATE(B11, ""en"", ""vi"")"),"Giết Hawks.")</f>
        <v>Giết Hawks.</v>
      </c>
      <c r="L11" s="26" t="str">
        <f ca="1">IFERROR(__xludf.DUMMYFUNCTION("GOOGLETRANSLATE(B11, ""en"", ""hr"")"),"Ubiti Hawks")</f>
        <v>Ubiti Hawks</v>
      </c>
      <c r="M11" s="28"/>
      <c r="N11" s="28"/>
      <c r="O11" s="28"/>
      <c r="P11" s="28"/>
      <c r="Q11" s="28"/>
      <c r="R11" s="28"/>
      <c r="S11" s="28"/>
      <c r="T11" s="28"/>
      <c r="U11" s="28"/>
      <c r="V11" s="28"/>
      <c r="W11" s="28"/>
      <c r="X11" s="28"/>
      <c r="Y11" s="28"/>
      <c r="Z11" s="28"/>
      <c r="AA11" s="28"/>
      <c r="AB11" s="28"/>
    </row>
    <row r="12" spans="1:28" ht="15.75" customHeight="1" x14ac:dyDescent="0.15">
      <c r="A12" s="21" t="s">
        <v>1060</v>
      </c>
      <c r="B12" s="22" t="s">
        <v>1061</v>
      </c>
      <c r="C12" s="23" t="str">
        <f ca="1">IFERROR(__xludf.DUMMYFUNCTION("GOOGLETRANSLATE(B12, ""en"", ""fr"")"),"Tuer des snoovirs")</f>
        <v>Tuer des snoovirs</v>
      </c>
      <c r="D12" s="23" t="str">
        <f ca="1">IFERROR(__xludf.DUMMYFUNCTION("GOOGLETRANSLATE(B12, ""en"", ""es"")"),"Matar Snovirs")</f>
        <v>Matar Snovirs</v>
      </c>
      <c r="E12" s="23" t="str">
        <f ca="1">IFERROR(__xludf.DUMMYFUNCTION("GOOGLETRANSLATE(B12, ""en"", ""ru"")"),"Убить Сновиры")</f>
        <v>Убить Сновиры</v>
      </c>
      <c r="F12" s="23" t="str">
        <f ca="1">IFERROR(__xludf.DUMMYFUNCTION("GOOGLETRANSLATE(B12, ""en"", ""tr"")"),"Snoovirleri öldür")</f>
        <v>Snoovirleri öldür</v>
      </c>
      <c r="G12" s="23" t="str">
        <f ca="1">IFERROR(__xludf.DUMMYFUNCTION("GOOGLETRANSLATE(B12, ""en"", ""pt"")"),"Matar snoovirs.")</f>
        <v>Matar snoovirs.</v>
      </c>
      <c r="H12" s="24" t="str">
        <f ca="1">IFERROR(__xludf.DUMMYFUNCTION("GOOGLETRANSLATE(B12, ""en"", ""de"")"),"Töte Snoovirs.")</f>
        <v>Töte Snoovirs.</v>
      </c>
      <c r="I12" s="23" t="str">
        <f ca="1">IFERROR(__xludf.DUMMYFUNCTION("GOOGLETRANSLATE(B12, ""en"", ""pl"")"),"Zabij Snoowir")</f>
        <v>Zabij Snoowir</v>
      </c>
      <c r="J12" s="25" t="str">
        <f ca="1">IFERROR(__xludf.DUMMYFUNCTION("GOOGLETRANSLATE(B12, ""en"", ""zh"")"),"杀死Snoovirs.")</f>
        <v>杀死Snoovirs.</v>
      </c>
      <c r="K12" s="25" t="str">
        <f ca="1">IFERROR(__xludf.DUMMYFUNCTION("GOOGLETRANSLATE(B12, ""en"", ""vi"")"),"Giết Snoovirs.")</f>
        <v>Giết Snoovirs.</v>
      </c>
      <c r="L12" s="26" t="str">
        <f ca="1">IFERROR(__xludf.DUMMYFUNCTION("GOOGLETRANSLATE(B12, ""en"", ""hr"")"),"Ubiti snoovirs")</f>
        <v>Ubiti snoovirs</v>
      </c>
      <c r="M12" s="28"/>
      <c r="N12" s="28"/>
      <c r="O12" s="28"/>
      <c r="P12" s="28"/>
      <c r="Q12" s="28"/>
      <c r="R12" s="28"/>
      <c r="S12" s="28"/>
      <c r="T12" s="28"/>
      <c r="U12" s="28"/>
      <c r="V12" s="28"/>
      <c r="W12" s="28"/>
      <c r="X12" s="28"/>
      <c r="Y12" s="28"/>
      <c r="Z12" s="28"/>
      <c r="AA12" s="28"/>
      <c r="AB12" s="28"/>
    </row>
    <row r="13" spans="1:28" ht="15.75" customHeight="1" x14ac:dyDescent="0.15">
      <c r="A13" s="21" t="s">
        <v>1062</v>
      </c>
      <c r="B13" s="22" t="s">
        <v>1063</v>
      </c>
      <c r="C13" s="23" t="str">
        <f ca="1">IFERROR(__xludf.DUMMYFUNCTION("GOOGLETRANSLATE(B13, ""en"", ""fr"")"),"Marquer des crampons")</f>
        <v>Marquer des crampons</v>
      </c>
      <c r="D13" s="23" t="str">
        <f ca="1">IFERROR(__xludf.DUMMYFUNCTION("GOOGLETRANSLATE(B13, ""en"", ""es"")"),"Matanza de scamps")</f>
        <v>Matanza de scamps</v>
      </c>
      <c r="E13" s="23" t="str">
        <f ca="1">IFERROR(__xludf.DUMMYFUNCTION("GOOGLETRANSLATE(B13, ""en"", ""ru"")"),"Убивать Бит")</f>
        <v>Убивать Бит</v>
      </c>
      <c r="F13" s="23" t="str">
        <f ca="1">IFERROR(__xludf.DUMMYFUNCTION("GOOGLETRANSLATE(B13, ""en"", ""tr"")"),"Scamp'ları öldür")</f>
        <v>Scamp'ları öldür</v>
      </c>
      <c r="G13" s="23" t="str">
        <f ca="1">IFERROR(__xludf.DUMMYFUNCTION("GOOGLETRANSLATE(B13, ""en"", ""pt"")"),"Matar scamps.")</f>
        <v>Matar scamps.</v>
      </c>
      <c r="H13" s="24" t="str">
        <f ca="1">IFERROR(__xludf.DUMMYFUNCTION("GOOGLETRANSLATE(B13, ""en"", ""de"")"),"Töte Scamps.")</f>
        <v>Töte Scamps.</v>
      </c>
      <c r="I13" s="23" t="str">
        <f ca="1">IFERROR(__xludf.DUMMYFUNCTION("GOOGLETRANSLATE(B13, ""en"", ""pl"")"),"Zabij scamps.")</f>
        <v>Zabij scamps.</v>
      </c>
      <c r="J13" s="25" t="str">
        <f ca="1">IFERROR(__xludf.DUMMYFUNCTION("GOOGLETRANSLATE(B13, ""en"", ""zh"")"),"杀了偷偷")</f>
        <v>杀了偷偷</v>
      </c>
      <c r="K13" s="25" t="str">
        <f ca="1">IFERROR(__xludf.DUMMYFUNCTION("GOOGLETRANSLATE(B13, ""en"", ""vi"")"),"Giết Scamp.")</f>
        <v>Giết Scamp.</v>
      </c>
      <c r="L13" s="26" t="str">
        <f ca="1">IFERROR(__xludf.DUMMYFUNCTION("GOOGLETRANSLATE(B13, ""en"", ""hr"")"),"Ubiti škampe")</f>
        <v>Ubiti škampe</v>
      </c>
      <c r="M13" s="28"/>
      <c r="N13" s="28"/>
      <c r="O13" s="28"/>
      <c r="P13" s="28"/>
      <c r="Q13" s="28"/>
      <c r="R13" s="28"/>
      <c r="S13" s="28"/>
      <c r="T13" s="28"/>
      <c r="U13" s="28"/>
      <c r="V13" s="28"/>
      <c r="W13" s="28"/>
      <c r="X13" s="28"/>
      <c r="Y13" s="28"/>
      <c r="Z13" s="28"/>
      <c r="AA13" s="28"/>
      <c r="AB13" s="28"/>
    </row>
    <row r="14" spans="1:28" ht="15.75" customHeight="1" x14ac:dyDescent="0.15">
      <c r="A14" s="21" t="s">
        <v>1064</v>
      </c>
      <c r="B14" s="22" t="s">
        <v>1065</v>
      </c>
      <c r="C14" s="23" t="str">
        <f ca="1">IFERROR(__xludf.DUMMYFUNCTION("GOOGLETRANSLATE(B14, ""en"", ""fr"")"),"Tuer des zombies")</f>
        <v>Tuer des zombies</v>
      </c>
      <c r="D14" s="23" t="str">
        <f ca="1">IFERROR(__xludf.DUMMYFUNCTION("GOOGLETRANSLATE(B14, ""en"", ""es"")"),"Matar zombis")</f>
        <v>Matar zombis</v>
      </c>
      <c r="E14" s="23" t="str">
        <f ca="1">IFERROR(__xludf.DUMMYFUNCTION("GOOGLETRANSLATE(B14, ""en"", ""ru"")"),"Убить зомби")</f>
        <v>Убить зомби</v>
      </c>
      <c r="F14" s="23" t="str">
        <f ca="1">IFERROR(__xludf.DUMMYFUNCTION("GOOGLETRANSLATE(B14, ""en"", ""tr"")"),"Zombileri öldür")</f>
        <v>Zombileri öldür</v>
      </c>
      <c r="G14" s="23" t="str">
        <f ca="1">IFERROR(__xludf.DUMMYFUNCTION("GOOGLETRANSLATE(B14, ""en"", ""pt"")"),"Matar zumbis")</f>
        <v>Matar zumbis</v>
      </c>
      <c r="H14" s="24" t="str">
        <f ca="1">IFERROR(__xludf.DUMMYFUNCTION("GOOGLETRANSLATE(B14, ""en"", ""de"")"),"Töte Zombies")</f>
        <v>Töte Zombies</v>
      </c>
      <c r="I14" s="23" t="str">
        <f ca="1">IFERROR(__xludf.DUMMYFUNCTION("GOOGLETRANSLATE(B14, ""en"", ""pl"")"),"Zabić zombie")</f>
        <v>Zabić zombie</v>
      </c>
      <c r="J14" s="25" t="str">
        <f ca="1">IFERROR(__xludf.DUMMYFUNCTION("GOOGLETRANSLATE(B14, ""en"", ""zh"")"),"杀死僵尸")</f>
        <v>杀死僵尸</v>
      </c>
      <c r="K14" s="25" t="str">
        <f ca="1">IFERROR(__xludf.DUMMYFUNCTION("GOOGLETRANSLATE(B14, ""en"", ""vi"")"),"Tiêu diệt zombie")</f>
        <v>Tiêu diệt zombie</v>
      </c>
      <c r="L14" s="26" t="str">
        <f ca="1">IFERROR(__xludf.DUMMYFUNCTION("GOOGLETRANSLATE(B14, ""en"", ""hr"")"),"Ubiti zombiji")</f>
        <v>Ubiti zombiji</v>
      </c>
      <c r="M14" s="28"/>
      <c r="N14" s="28"/>
      <c r="O14" s="28"/>
      <c r="P14" s="28"/>
      <c r="Q14" s="28"/>
      <c r="R14" s="28"/>
      <c r="S14" s="28"/>
      <c r="T14" s="28"/>
      <c r="U14" s="28"/>
      <c r="V14" s="28"/>
      <c r="W14" s="28"/>
      <c r="X14" s="28"/>
      <c r="Y14" s="28"/>
      <c r="Z14" s="28"/>
      <c r="AA14" s="28"/>
      <c r="AB14" s="28"/>
    </row>
    <row r="15" spans="1:28" ht="15.75" customHeight="1" x14ac:dyDescent="0.15">
      <c r="A15" s="21" t="s">
        <v>1066</v>
      </c>
      <c r="B15" s="22" t="s">
        <v>1067</v>
      </c>
      <c r="C15" s="23" t="str">
        <f ca="1">IFERROR(__xludf.DUMMYFUNCTION("GOOGLETRANSLATE(B15, ""en"", ""fr"")"),"Tuer des vampires")</f>
        <v>Tuer des vampires</v>
      </c>
      <c r="D15" s="23" t="str">
        <f ca="1">IFERROR(__xludf.DUMMYFUNCTION("GOOGLETRANSLATE(B15, ""en"", ""es"")"),"Mata a los vampiros")</f>
        <v>Mata a los vampiros</v>
      </c>
      <c r="E15" s="23" t="str">
        <f ca="1">IFERROR(__xludf.DUMMYFUNCTION("GOOGLETRANSLATE(B15, ""en"", ""ru"")"),"Убить вампиров")</f>
        <v>Убить вампиров</v>
      </c>
      <c r="F15" s="23" t="str">
        <f ca="1">IFERROR(__xludf.DUMMYFUNCTION("GOOGLETRANSLATE(B15, ""en"", ""tr"")"),"Vampir öldürmek")</f>
        <v>Vampir öldürmek</v>
      </c>
      <c r="G15" s="23" t="str">
        <f ca="1">IFERROR(__xludf.DUMMYFUNCTION("GOOGLETRANSLATE(B15, ""en"", ""pt"")"),"Matar vampiros.")</f>
        <v>Matar vampiros.</v>
      </c>
      <c r="H15" s="24" t="str">
        <f ca="1">IFERROR(__xludf.DUMMYFUNCTION("GOOGLETRANSLATE(B15, ""en"", ""de"")"),"Töte Vampire.")</f>
        <v>Töte Vampire.</v>
      </c>
      <c r="I15" s="23" t="str">
        <f ca="1">IFERROR(__xludf.DUMMYFUNCTION("GOOGLETRANSLATE(B15, ""en"", ""pl"")"),"Zabij wampiry")</f>
        <v>Zabij wampiry</v>
      </c>
      <c r="J15" s="25" t="str">
        <f ca="1">IFERROR(__xludf.DUMMYFUNCTION("GOOGLETRANSLATE(B15, ""en"", ""zh"")"),"杀死吸血鬼")</f>
        <v>杀死吸血鬼</v>
      </c>
      <c r="K15" s="25" t="str">
        <f ca="1">IFERROR(__xludf.DUMMYFUNCTION("GOOGLETRANSLATE(B15, ""en"", ""vi"")"),"Giết ma cà rồng")</f>
        <v>Giết ma cà rồng</v>
      </c>
      <c r="L15" s="26" t="str">
        <f ca="1">IFERROR(__xludf.DUMMYFUNCTION("GOOGLETRANSLATE(B15, ""en"", ""hr"")"),"Ubiti vampiri")</f>
        <v>Ubiti vampiri</v>
      </c>
      <c r="M15" s="28"/>
      <c r="N15" s="28"/>
      <c r="O15" s="28"/>
      <c r="P15" s="28"/>
      <c r="Q15" s="28"/>
      <c r="R15" s="28"/>
      <c r="S15" s="28"/>
      <c r="T15" s="28"/>
      <c r="U15" s="28"/>
      <c r="V15" s="28"/>
      <c r="W15" s="28"/>
      <c r="X15" s="28"/>
      <c r="Y15" s="28"/>
      <c r="Z15" s="28"/>
      <c r="AA15" s="28"/>
      <c r="AB15" s="28"/>
    </row>
    <row r="16" spans="1:28" ht="15.75" customHeight="1" x14ac:dyDescent="0.15">
      <c r="A16" s="21" t="s">
        <v>1068</v>
      </c>
      <c r="B16" s="22" t="s">
        <v>1069</v>
      </c>
      <c r="C16" s="23" t="str">
        <f ca="1">IFERROR(__xludf.DUMMYFUNCTION("GOOGLETRANSLATE(B16, ""en"", ""fr"")"),"Tuer des hors-la-loi")</f>
        <v>Tuer des hors-la-loi</v>
      </c>
      <c r="D16" s="23" t="str">
        <f ca="1">IFERROR(__xludf.DUMMYFUNCTION("GOOGLETRANSLATE(B16, ""en"", ""es"")"),"Matar proscritos")</f>
        <v>Matar proscritos</v>
      </c>
      <c r="E16" s="23" t="str">
        <f ca="1">IFERROR(__xludf.DUMMYFUNCTION("GOOGLETRANSLATE(B16, ""en"", ""ru"")"),"Убить преступников")</f>
        <v>Убить преступников</v>
      </c>
      <c r="F16" s="23" t="str">
        <f ca="1">IFERROR(__xludf.DUMMYFUNCTION("GOOGLETRANSLATE(B16, ""en"", ""tr"")"),"Haydutları öldür")</f>
        <v>Haydutları öldür</v>
      </c>
      <c r="G16" s="23" t="str">
        <f ca="1">IFERROR(__xludf.DUMMYFUNCTION("GOOGLETRANSLATE(B16, ""en"", ""pt"")"),"Mate Blands.")</f>
        <v>Mate Blands.</v>
      </c>
      <c r="H16" s="24" t="str">
        <f ca="1">IFERROR(__xludf.DUMMYFUNCTION("GOOGLETRANSLATE(B16, ""en"", ""de"")"),"Kill Outlaws.")</f>
        <v>Kill Outlaws.</v>
      </c>
      <c r="I16" s="23" t="str">
        <f ca="1">IFERROR(__xludf.DUMMYFUNCTION("GOOGLETRANSLATE(B16, ""en"", ""pl"")"),"Zabij Ballela")</f>
        <v>Zabij Ballela</v>
      </c>
      <c r="J16" s="25" t="str">
        <f ca="1">IFERROR(__xludf.DUMMYFUNCTION("GOOGLETRANSLATE(B16, ""en"", ""zh"")"),"杀死歹徒")</f>
        <v>杀死歹徒</v>
      </c>
      <c r="K16" s="25" t="str">
        <f ca="1">IFERROR(__xludf.DUMMYFUNCTION("GOOGLETRANSLATE(B16, ""en"", ""vi"")"),"KILL OFTAWS.")</f>
        <v>KILL OFTAWS.</v>
      </c>
      <c r="L16" s="26" t="str">
        <f ca="1">IFERROR(__xludf.DUMMYFUNCTION("GOOGLETRANSLATE(B16, ""en"", ""hr"")"),"Ubiti odmetnice")</f>
        <v>Ubiti odmetnice</v>
      </c>
      <c r="M16" s="28"/>
      <c r="N16" s="28"/>
      <c r="O16" s="28"/>
      <c r="P16" s="28"/>
      <c r="Q16" s="28"/>
      <c r="R16" s="28"/>
      <c r="S16" s="28"/>
      <c r="T16" s="28"/>
      <c r="U16" s="28"/>
      <c r="V16" s="28"/>
      <c r="W16" s="28"/>
      <c r="X16" s="28"/>
      <c r="Y16" s="28"/>
      <c r="Z16" s="28"/>
      <c r="AA16" s="28"/>
      <c r="AB16" s="28"/>
    </row>
    <row r="17" spans="1:28" ht="15.75" customHeight="1" x14ac:dyDescent="0.15">
      <c r="A17" s="21" t="s">
        <v>1070</v>
      </c>
      <c r="B17" s="22" t="s">
        <v>1071</v>
      </c>
      <c r="C17" s="23" t="str">
        <f ca="1">IFERROR(__xludf.DUMMYFUNCTION("GOOGLETRANSLATE(B17, ""en"", ""fr"")"),"Tuer les guerriers")</f>
        <v>Tuer les guerriers</v>
      </c>
      <c r="D17" s="23" t="str">
        <f ca="1">IFERROR(__xludf.DUMMYFUNCTION("GOOGLETRANSLATE(B17, ""en"", ""es"")"),"Matar a los guerreros")</f>
        <v>Matar a los guerreros</v>
      </c>
      <c r="E17" s="23" t="str">
        <f ca="1">IFERROR(__xludf.DUMMYFUNCTION("GOOGLETRANSLATE(B17, ""en"", ""ru"")"),"Убить воинов")</f>
        <v>Убить воинов</v>
      </c>
      <c r="F17" s="23" t="str">
        <f ca="1">IFERROR(__xludf.DUMMYFUNCTION("GOOGLETRANSLATE(B17, ""en"", ""tr"")"),"Savaşçıları öldür")</f>
        <v>Savaşçıları öldür</v>
      </c>
      <c r="G17" s="23" t="str">
        <f ca="1">IFERROR(__xludf.DUMMYFUNCTION("GOOGLETRANSLATE(B17, ""en"", ""pt"")"),"Kill Warriors.")</f>
        <v>Kill Warriors.</v>
      </c>
      <c r="H17" s="24" t="str">
        <f ca="1">IFERROR(__xludf.DUMMYFUNCTION("GOOGLETRANSLATE(B17, ""en"", ""de"")"),"Kill Krieger töten")</f>
        <v>Kill Krieger töten</v>
      </c>
      <c r="I17" s="23" t="str">
        <f ca="1">IFERROR(__xludf.DUMMYFUNCTION("GOOGLETRANSLATE(B17, ""en"", ""pl"")"),"Zabij wojowników")</f>
        <v>Zabij wojowników</v>
      </c>
      <c r="J17" s="25" t="str">
        <f ca="1">IFERROR(__xludf.DUMMYFUNCTION("GOOGLETRANSLATE(B17, ""en"", ""zh"")"),"杀战士")</f>
        <v>杀战士</v>
      </c>
      <c r="K17" s="25" t="str">
        <f ca="1">IFERROR(__xludf.DUMMYFUNCTION("GOOGLETRANSLATE(B17, ""en"", ""vi"")"),"Kill Warriors.")</f>
        <v>Kill Warriors.</v>
      </c>
      <c r="L17" s="26" t="str">
        <f ca="1">IFERROR(__xludf.DUMMYFUNCTION("GOOGLETRANSLATE(B17, ""en"", ""hr"")"),"Ubiti ratnike")</f>
        <v>Ubiti ratnike</v>
      </c>
      <c r="M17" s="28"/>
      <c r="N17" s="28"/>
      <c r="O17" s="28"/>
      <c r="P17" s="28"/>
      <c r="Q17" s="28"/>
      <c r="R17" s="28"/>
      <c r="S17" s="28"/>
      <c r="T17" s="28"/>
      <c r="U17" s="28"/>
      <c r="V17" s="28"/>
      <c r="W17" s="28"/>
      <c r="X17" s="28"/>
      <c r="Y17" s="28"/>
      <c r="Z17" s="28"/>
      <c r="AA17" s="28"/>
      <c r="AB17" s="28"/>
    </row>
    <row r="18" spans="1:28" ht="15.75" customHeight="1" x14ac:dyDescent="0.15">
      <c r="A18" s="21" t="s">
        <v>1072</v>
      </c>
      <c r="B18" s="22" t="s">
        <v>1073</v>
      </c>
      <c r="C18" s="23" t="str">
        <f ca="1">IFERROR(__xludf.DUMMYFUNCTION("GOOGLETRANSLATE(B18, ""en"", ""fr"")"),"Tuer les gobelins")</f>
        <v>Tuer les gobelins</v>
      </c>
      <c r="D18" s="23" t="str">
        <f ca="1">IFERROR(__xludf.DUMMYFUNCTION("GOOGLETRANSLATE(B18, ""en"", ""es"")"),"Matar duendes")</f>
        <v>Matar duendes</v>
      </c>
      <c r="E18" s="23" t="str">
        <f ca="1">IFERROR(__xludf.DUMMYFUNCTION("GOOGLETRANSLATE(B18, ""en"", ""ru"")"),"Убить гоблинов")</f>
        <v>Убить гоблинов</v>
      </c>
      <c r="F18" s="23" t="str">
        <f ca="1">IFERROR(__xludf.DUMMYFUNCTION("GOOGLETRANSLATE(B18, ""en"", ""tr"")"),"Goblinleri öldür")</f>
        <v>Goblinleri öldür</v>
      </c>
      <c r="G18" s="23" t="str">
        <f ca="1">IFERROR(__xludf.DUMMYFUNCTION("GOOGLETRANSLATE(B18, ""en"", ""pt"")"),"Matar goblins")</f>
        <v>Matar goblins</v>
      </c>
      <c r="H18" s="24" t="str">
        <f ca="1">IFERROR(__xludf.DUMMYFUNCTION("GOOGLETRANSLATE(B18, ""en"", ""de"")"),"Kill Keulen")</f>
        <v>Kill Keulen</v>
      </c>
      <c r="I18" s="23" t="str">
        <f ca="1">IFERROR(__xludf.DUMMYFUNCTION("GOOGLETRANSLATE(B18, ""en"", ""pl"")"),"Zabij Goblins.")</f>
        <v>Zabij Goblins.</v>
      </c>
      <c r="J18" s="25" t="str">
        <f ca="1">IFERROR(__xludf.DUMMYFUNCTION("GOOGLETRANSLATE(B18, ""en"", ""zh"")"),"杀死精灵")</f>
        <v>杀死精灵</v>
      </c>
      <c r="K18" s="25" t="str">
        <f ca="1">IFERROR(__xludf.DUMMYFUNCTION("GOOGLETRANSLATE(B18, ""en"", ""vi"")"),"Giết yêu tinh")</f>
        <v>Giết yêu tinh</v>
      </c>
      <c r="L18" s="26" t="str">
        <f ca="1">IFERROR(__xludf.DUMMYFUNCTION("GOOGLETRANSLATE(B18, ""en"", ""hr"")"),"Ubiti gobline")</f>
        <v>Ubiti gobline</v>
      </c>
      <c r="M18" s="28"/>
      <c r="N18" s="28"/>
      <c r="O18" s="28"/>
      <c r="P18" s="28"/>
      <c r="Q18" s="28"/>
      <c r="R18" s="28"/>
      <c r="S18" s="28"/>
      <c r="T18" s="28"/>
      <c r="U18" s="28"/>
      <c r="V18" s="28"/>
      <c r="W18" s="28"/>
      <c r="X18" s="28"/>
      <c r="Y18" s="28"/>
      <c r="Z18" s="28"/>
      <c r="AA18" s="28"/>
      <c r="AB18" s="28"/>
    </row>
    <row r="19" spans="1:28" ht="15.75" customHeight="1" x14ac:dyDescent="0.15">
      <c r="A19" s="21" t="s">
        <v>1074</v>
      </c>
      <c r="B19" s="22" t="s">
        <v>1075</v>
      </c>
      <c r="C19" s="23" t="str">
        <f ca="1">IFERROR(__xludf.DUMMYFUNCTION("GOOGLETRANSLATE(B19, ""en"", ""fr"")"),"Tuer des gnarls")</f>
        <v>Tuer des gnarls</v>
      </c>
      <c r="D19" s="23" t="str">
        <f ca="1">IFERROR(__xludf.DUMMYFUNCTION("GOOGLETRANSLATE(B19, ""en"", ""es"")"),"Matar a Gnarls")</f>
        <v>Matar a Gnarls</v>
      </c>
      <c r="E19" s="23" t="str">
        <f ca="1">IFERROR(__xludf.DUMMYFUNCTION("GOOGLETRANSLATE(B19, ""en"", ""ru"")"),"Убить Гнарлс")</f>
        <v>Убить Гнарлс</v>
      </c>
      <c r="F19" s="23" t="str">
        <f ca="1">IFERROR(__xludf.DUMMYFUNCTION("GOOGLETRANSLATE(B19, ""en"", ""tr"")"),"Gnarls öldür")</f>
        <v>Gnarls öldür</v>
      </c>
      <c r="G19" s="23" t="str">
        <f ca="1">IFERROR(__xludf.DUMMYFUNCTION("GOOGLETRANSLATE(B19, ""en"", ""pt"")"),"Matar gnarls.")</f>
        <v>Matar gnarls.</v>
      </c>
      <c r="H19" s="24" t="str">
        <f ca="1">IFERROR(__xludf.DUMMYFUNCTION("GOOGLETRANSLATE(B19, ""en"", ""de"")"),"Töte Gnarls.")</f>
        <v>Töte Gnarls.</v>
      </c>
      <c r="I19" s="23" t="str">
        <f ca="1">IFERROR(__xludf.DUMMYFUNCTION("GOOGLETRANSLATE(B19, ""en"", ""pl"")"),"Zabij Gnarls.")</f>
        <v>Zabij Gnarls.</v>
      </c>
      <c r="J19" s="25" t="str">
        <f ca="1">IFERROR(__xludf.DUMMYFUNCTION("GOOGLETRANSLATE(B19, ""en"", ""zh"")"),"杀死gnarls.")</f>
        <v>杀死gnarls.</v>
      </c>
      <c r="K19" s="25" t="str">
        <f ca="1">IFERROR(__xludf.DUMMYFUNCTION("GOOGLETRANSLATE(B19, ""en"", ""vi"")"),"Giết Gnarls.")</f>
        <v>Giết Gnarls.</v>
      </c>
      <c r="L19" s="26" t="str">
        <f ca="1">IFERROR(__xludf.DUMMYFUNCTION("GOOGLETRANSLATE(B19, ""en"", ""hr"")"),"Ubiti grana")</f>
        <v>Ubiti grana</v>
      </c>
      <c r="M19" s="28"/>
      <c r="N19" s="28"/>
      <c r="O19" s="28"/>
      <c r="P19" s="28"/>
      <c r="Q19" s="28"/>
      <c r="R19" s="28"/>
      <c r="S19" s="28"/>
      <c r="T19" s="28"/>
      <c r="U19" s="28"/>
      <c r="V19" s="28"/>
      <c r="W19" s="28"/>
      <c r="X19" s="28"/>
      <c r="Y19" s="28"/>
      <c r="Z19" s="28"/>
      <c r="AA19" s="28"/>
      <c r="AB19" s="28"/>
    </row>
    <row r="20" spans="1:28" ht="15.75" customHeight="1" x14ac:dyDescent="0.15">
      <c r="A20" s="21" t="s">
        <v>1076</v>
      </c>
      <c r="B20" s="22" t="s">
        <v>1077</v>
      </c>
      <c r="C20" s="23" t="str">
        <f ca="1">IFERROR(__xludf.DUMMYFUNCTION("GOOGLETRANSLATE(B20, ""en"", ""fr"")"),"Tuer des golems")</f>
        <v>Tuer des golems</v>
      </c>
      <c r="D20" s="23" t="str">
        <f ca="1">IFERROR(__xludf.DUMMYFUNCTION("GOOGLETRANSLATE(B20, ""en"", ""es"")"),"Matar golems")</f>
        <v>Matar golems</v>
      </c>
      <c r="E20" s="23" t="str">
        <f ca="1">IFERROR(__xludf.DUMMYFUNCTION("GOOGLETRANSLATE(B20, ""en"", ""ru"")"),"Убить Големы")</f>
        <v>Убить Големы</v>
      </c>
      <c r="F20" s="23" t="str">
        <f ca="1">IFERROR(__xludf.DUMMYFUNCTION("GOOGLETRANSLATE(B20, ""en"", ""tr"")"),"Golemleri öldür")</f>
        <v>Golemleri öldür</v>
      </c>
      <c r="G20" s="23" t="str">
        <f ca="1">IFERROR(__xludf.DUMMYFUNCTION("GOOGLETRANSLATE(B20, ""en"", ""pt"")"),"Mate Golems.")</f>
        <v>Mate Golems.</v>
      </c>
      <c r="H20" s="24" t="str">
        <f ca="1">IFERROR(__xludf.DUMMYFUNCTION("GOOGLETRANSLATE(B20, ""en"", ""de"")"),"Kill Golems")</f>
        <v>Kill Golems</v>
      </c>
      <c r="I20" s="23" t="str">
        <f ca="1">IFERROR(__xludf.DUMMYFUNCTION("GOOGLETRANSLATE(B20, ""en"", ""pl"")"),"Zabij Golems.")</f>
        <v>Zabij Golems.</v>
      </c>
      <c r="J20" s="25" t="str">
        <f ca="1">IFERROR(__xludf.DUMMYFUNCTION("GOOGLETRANSLATE(B20, ""en"", ""zh"")"),"杀死golems.")</f>
        <v>杀死golems.</v>
      </c>
      <c r="K20" s="25" t="str">
        <f ca="1">IFERROR(__xludf.DUMMYFUNCTION("GOOGLETRANSLATE(B20, ""en"", ""vi"")"),"Giết golems.")</f>
        <v>Giết golems.</v>
      </c>
      <c r="L20" s="26" t="str">
        <f ca="1">IFERROR(__xludf.DUMMYFUNCTION("GOOGLETRANSLATE(B20, ""en"", ""hr"")"),"Ubijte goleme")</f>
        <v>Ubijte goleme</v>
      </c>
      <c r="M20" s="28"/>
      <c r="N20" s="28"/>
      <c r="O20" s="28"/>
      <c r="P20" s="28"/>
      <c r="Q20" s="28"/>
      <c r="R20" s="28"/>
      <c r="S20" s="28"/>
      <c r="T20" s="28"/>
      <c r="U20" s="28"/>
      <c r="V20" s="28"/>
      <c r="W20" s="28"/>
      <c r="X20" s="28"/>
      <c r="Y20" s="28"/>
      <c r="Z20" s="28"/>
      <c r="AA20" s="28"/>
      <c r="AB20" s="28"/>
    </row>
    <row r="21" spans="1:28" ht="15.75" customHeight="1" x14ac:dyDescent="0.15">
      <c r="A21" s="21" t="s">
        <v>1078</v>
      </c>
      <c r="B21" s="22" t="s">
        <v>1079</v>
      </c>
      <c r="C21" s="23" t="str">
        <f ca="1">IFERROR(__xludf.DUMMYFUNCTION("GOOGLETRANSLATE(B21, ""en"", ""fr"")"),"Tuer des ordures")</f>
        <v>Tuer des ordures</v>
      </c>
      <c r="D21" s="23" t="str">
        <f ca="1">IFERROR(__xludf.DUMMYFUNCTION("GOOGLETRANSLATE(B21, ""en"", ""es"")"),"Matar adumbrals")</f>
        <v>Matar adumbrals</v>
      </c>
      <c r="E21" s="23" t="str">
        <f ca="1">IFERROR(__xludf.DUMMYFUNCTION("GOOGLETRANSLATE(B21, ""en"", ""ru"")"),"Убить адумбралов")</f>
        <v>Убить адумбралов</v>
      </c>
      <c r="F21" s="23" t="str">
        <f ca="1">IFERROR(__xludf.DUMMYFUNCTION("GOOGLETRANSLATE(B21, ""en"", ""tr"")"),"Haydut öldürmek")</f>
        <v>Haydut öldürmek</v>
      </c>
      <c r="G21" s="23" t="str">
        <f ca="1">IFERROR(__xludf.DUMMYFUNCTION("GOOGLETRANSLATE(B21, ""en"", ""pt"")"),"Matar adumbrals.")</f>
        <v>Matar adumbrals.</v>
      </c>
      <c r="H21" s="24" t="str">
        <f ca="1">IFERROR(__xludf.DUMMYFUNCTION("GOOGLETRANSLATE(B21, ""en"", ""de"")"),"Kill Adumbals")</f>
        <v>Kill Adumbals</v>
      </c>
      <c r="I21" s="23" t="str">
        <f ca="1">IFERROR(__xludf.DUMMYFUNCTION("GOOGLETRANSLATE(B21, ""en"", ""pl"")"),"Zabij Adumbrals.")</f>
        <v>Zabij Adumbrals.</v>
      </c>
      <c r="J21" s="25" t="str">
        <f ca="1">IFERROR(__xludf.DUMMYFUNCTION("GOOGLETRANSLATE(B21, ""en"", ""zh"")"),"杀死Adumbrals.")</f>
        <v>杀死Adumbrals.</v>
      </c>
      <c r="K21" s="25" t="str">
        <f ca="1">IFERROR(__xludf.DUMMYFUNCTION("GOOGLETRANSLATE(B21, ""en"", ""vi"")"),"Giết Adumbrals.")</f>
        <v>Giết Adumbrals.</v>
      </c>
      <c r="L21" s="26" t="str">
        <f ca="1">IFERROR(__xludf.DUMMYFUNCTION("GOOGLETRANSLATE(B21, ""en"", ""hr"")"),"Ubiti adumbrale")</f>
        <v>Ubiti adumbrale</v>
      </c>
      <c r="M21" s="28"/>
      <c r="N21" s="28"/>
      <c r="O21" s="28"/>
      <c r="P21" s="28"/>
      <c r="Q21" s="28"/>
      <c r="R21" s="28"/>
      <c r="S21" s="28"/>
      <c r="T21" s="28"/>
      <c r="U21" s="28"/>
      <c r="V21" s="28"/>
      <c r="W21" s="28"/>
      <c r="X21" s="28"/>
      <c r="Y21" s="28"/>
      <c r="Z21" s="28"/>
      <c r="AA21" s="28"/>
      <c r="AB21" s="28"/>
    </row>
    <row r="22" spans="1:28" ht="15.75" customHeight="1" x14ac:dyDescent="0.15">
      <c r="A22" s="21" t="s">
        <v>1080</v>
      </c>
      <c r="B22" s="22" t="s">
        <v>1081</v>
      </c>
      <c r="C22" s="23" t="str">
        <f ca="1">IFERROR(__xludf.DUMMYFUNCTION("GOOGLETRANSLATE(B22, ""en"", ""fr"")"),"Coton de récolte")</f>
        <v>Coton de récolte</v>
      </c>
      <c r="D22" s="23" t="str">
        <f ca="1">IFERROR(__xludf.DUMMYFUNCTION("GOOGLETRANSLATE(B22, ""en"", ""es"")"),"Cosecha de algodón")</f>
        <v>Cosecha de algodón</v>
      </c>
      <c r="E22" s="23" t="str">
        <f ca="1">IFERROR(__xludf.DUMMYFUNCTION("GOOGLETRANSLATE(B22, ""en"", ""ru"")"),"Уборка хлопка")</f>
        <v>Уборка хлопка</v>
      </c>
      <c r="F22" s="23" t="str">
        <f ca="1">IFERROR(__xludf.DUMMYFUNCTION("GOOGLETRANSLATE(B22, ""en"", ""tr"")"),"Hasat pamuk")</f>
        <v>Hasat pamuk</v>
      </c>
      <c r="G22" s="23" t="str">
        <f ca="1">IFERROR(__xludf.DUMMYFUNCTION("GOOGLETRANSLATE(B22, ""en"", ""pt"")"),"Algodão de colheita")</f>
        <v>Algodão de colheita</v>
      </c>
      <c r="H22" s="24" t="str">
        <f ca="1">IFERROR(__xludf.DUMMYFUNCTION("GOOGLETRANSLATE(B22, ""en"", ""de"")"),"Ernte Baumwolle")</f>
        <v>Ernte Baumwolle</v>
      </c>
      <c r="I22" s="23" t="str">
        <f ca="1">IFERROR(__xludf.DUMMYFUNCTION("GOOGLETRANSLATE(B22, ""en"", ""pl"")"),"Bawełna zbiorowa")</f>
        <v>Bawełna zbiorowa</v>
      </c>
      <c r="J22" s="25" t="str">
        <f ca="1">IFERROR(__xludf.DUMMYFUNCTION("GOOGLETRANSLATE(B22, ""en"", ""zh"")"),"收获棉花")</f>
        <v>收获棉花</v>
      </c>
      <c r="K22" s="25" t="str">
        <f ca="1">IFERROR(__xludf.DUMMYFUNCTION("GOOGLETRANSLATE(B22, ""en"", ""vi"")"),"Bông thu hoạch")</f>
        <v>Bông thu hoạch</v>
      </c>
      <c r="L22" s="26" t="str">
        <f ca="1">IFERROR(__xludf.DUMMYFUNCTION("GOOGLETRANSLATE(B22, ""en"", ""hr"")"),"Pamuk")</f>
        <v>Pamuk</v>
      </c>
      <c r="M22" s="28"/>
      <c r="N22" s="28"/>
      <c r="O22" s="28"/>
      <c r="P22" s="28"/>
      <c r="Q22" s="28"/>
      <c r="R22" s="28"/>
      <c r="S22" s="28"/>
      <c r="T22" s="28"/>
      <c r="U22" s="28"/>
      <c r="V22" s="28"/>
      <c r="W22" s="28"/>
      <c r="X22" s="28"/>
      <c r="Y22" s="28"/>
      <c r="Z22" s="28"/>
      <c r="AA22" s="28"/>
      <c r="AB22" s="28"/>
    </row>
    <row r="23" spans="1:28" ht="15.75" customHeight="1" x14ac:dyDescent="0.15">
      <c r="A23" s="21" t="s">
        <v>1082</v>
      </c>
      <c r="B23" s="22" t="s">
        <v>1083</v>
      </c>
      <c r="C23" s="23" t="str">
        <f ca="1">IFERROR(__xludf.DUMMYFUNCTION("GOOGLETRANSLATE(B23, ""en"", ""fr"")"),"Récolte Redcaps")</f>
        <v>Récolte Redcaps</v>
      </c>
      <c r="D23" s="23" t="str">
        <f ca="1">IFERROR(__xludf.DUMMYFUNCTION("GOOGLETRANSLATE(B23, ""en"", ""es"")"),"Cosecha Redcaps")</f>
        <v>Cosecha Redcaps</v>
      </c>
      <c r="E23" s="23" t="str">
        <f ca="1">IFERROR(__xludf.DUMMYFUNCTION("GOOGLETRANSLATE(B23, ""en"", ""ru"")"),"Сбор урожая Redcaps.")</f>
        <v>Сбор урожая Redcaps.</v>
      </c>
      <c r="F23" s="23" t="str">
        <f ca="1">IFERROR(__xludf.DUMMYFUNCTION("GOOGLETRANSLATE(B23, ""en"", ""tr"")"),"Hasat redcaps")</f>
        <v>Hasat redcaps</v>
      </c>
      <c r="G23" s="23" t="str">
        <f ca="1">IFERROR(__xludf.DUMMYFUNCTION("GOOGLETRANSLATE(B23, ""en"", ""pt"")"),"Colheita redcaps.")</f>
        <v>Colheita redcaps.</v>
      </c>
      <c r="H23" s="24" t="str">
        <f ca="1">IFERROR(__xludf.DUMMYFUNCTION("GOOGLETRANSLATE(B23, ""en"", ""de"")"),"Ernte Redcaps.")</f>
        <v>Ernte Redcaps.</v>
      </c>
      <c r="I23" s="23" t="str">
        <f ca="1">IFERROR(__xludf.DUMMYFUNCTION("GOOGLETRANSLATE(B23, ""en"", ""pl"")"),"RedCaps zbiorów")</f>
        <v>RedCaps zbiorów</v>
      </c>
      <c r="J23" s="25" t="str">
        <f ca="1">IFERROR(__xludf.DUMMYFUNCTION("GOOGLETRANSLATE(B23, ""en"", ""zh"")"),"收获红板")</f>
        <v>收获红板</v>
      </c>
      <c r="K23" s="25" t="str">
        <f ca="1">IFERROR(__xludf.DUMMYFUNCTION("GOOGLETRANSLATE(B23, ""en"", ""vi"")"),"Thu hoạch redcaps.")</f>
        <v>Thu hoạch redcaps.</v>
      </c>
      <c r="L23" s="26" t="str">
        <f ca="1">IFERROR(__xludf.DUMMYFUNCTION("GOOGLETRANSLATE(B23, ""en"", ""hr"")"),"Žetva Redcaps")</f>
        <v>Žetva Redcaps</v>
      </c>
      <c r="M23" s="28"/>
      <c r="N23" s="28"/>
      <c r="O23" s="28"/>
      <c r="P23" s="28"/>
      <c r="Q23" s="28"/>
      <c r="R23" s="28"/>
      <c r="S23" s="28"/>
      <c r="T23" s="28"/>
      <c r="U23" s="28"/>
      <c r="V23" s="28"/>
      <c r="W23" s="28"/>
      <c r="X23" s="28"/>
      <c r="Y23" s="28"/>
      <c r="Z23" s="28"/>
      <c r="AA23" s="28"/>
      <c r="AB23" s="28"/>
    </row>
    <row r="24" spans="1:28" ht="15.75" customHeight="1" x14ac:dyDescent="0.15">
      <c r="A24" s="21" t="s">
        <v>1084</v>
      </c>
      <c r="B24" s="22" t="s">
        <v>1085</v>
      </c>
      <c r="C24" s="23" t="str">
        <f ca="1">IFERROR(__xludf.DUMMYFUNCTION("GOOGLETRANSLATE(B24, ""en"", ""fr"")"),"Harvest Greenps")</f>
        <v>Harvest Greenps</v>
      </c>
      <c r="D24" s="23" t="str">
        <f ca="1">IFERROR(__xludf.DUMMYFUNCTION("GOOGLETRANSLATE(B24, ""en"", ""es"")"),"Cosechar greencaps")</f>
        <v>Cosechar greencaps</v>
      </c>
      <c r="E24" s="23" t="str">
        <f ca="1">IFERROR(__xludf.DUMMYFUNCTION("GOOGLETRANSLATE(B24, ""en"", ""ru"")"),"Урожай Гренкапс")</f>
        <v>Урожай Гренкапс</v>
      </c>
      <c r="F24" s="23" t="str">
        <f ca="1">IFERROR(__xludf.DUMMYFUNCTION("GOOGLETRANSLATE(B24, ""en"", ""tr"")"),"Hasat serası")</f>
        <v>Hasat serası</v>
      </c>
      <c r="G24" s="23" t="str">
        <f ca="1">IFERROR(__xludf.DUMMYFUNCTION("GOOGLETRANSLATE(B24, ""en"", ""pt"")"),"Colheita Greencaps.")</f>
        <v>Colheita Greencaps.</v>
      </c>
      <c r="H24" s="24" t="str">
        <f ca="1">IFERROR(__xludf.DUMMYFUNCTION("GOOGLETRANSLATE(B24, ""en"", ""de"")"),"Erntegrünkappen.")</f>
        <v>Erntegrünkappen.</v>
      </c>
      <c r="I24" s="23" t="str">
        <f ca="1">IFERROR(__xludf.DUMMYFUNCTION("GOOGLETRANSLATE(B24, ""en"", ""pl"")"),"Zbiory GreenCaps.")</f>
        <v>Zbiory GreenCaps.</v>
      </c>
      <c r="J24" s="25" t="str">
        <f ca="1">IFERROR(__xludf.DUMMYFUNCTION("GOOGLETRANSLATE(B24, ""en"", ""zh"")"),"收获绿盖")</f>
        <v>收获绿盖</v>
      </c>
      <c r="K24" s="25" t="str">
        <f ca="1">IFERROR(__xludf.DUMMYFUNCTION("GOOGLETRANSLATE(B24, ""en"", ""vi"")"),"Thu hoạch greencaps.")</f>
        <v>Thu hoạch greencaps.</v>
      </c>
      <c r="L24" s="26" t="str">
        <f ca="1">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spans="1:28" ht="15.75" customHeight="1" x14ac:dyDescent="0.15">
      <c r="A25" s="21" t="s">
        <v>1086</v>
      </c>
      <c r="B25" s="22" t="s">
        <v>1087</v>
      </c>
      <c r="C25" s="23" t="str">
        <f ca="1">IFERROR(__xludf.DUMMYFUNCTION("GOOGLETRANSLATE(B25, ""en"", ""fr"")"),"Harvest Bluecaps")</f>
        <v>Harvest Bluecaps</v>
      </c>
      <c r="D25" s="23" t="str">
        <f ca="1">IFERROR(__xludf.DUMMYFUNCTION("GOOGLETRANSLATE(B25, ""en"", ""es"")"),"Cosecha BlueCaps")</f>
        <v>Cosecha BlueCaps</v>
      </c>
      <c r="E25" s="23" t="str">
        <f ca="1">IFERROR(__xludf.DUMMYFUNCTION("GOOGLETRANSLATE(B25, ""en"", ""ru"")"),"Урожай Bluecaps.")</f>
        <v>Урожай Bluecaps.</v>
      </c>
      <c r="F25" s="23" t="str">
        <f ca="1">IFERROR(__xludf.DUMMYFUNCTION("GOOGLETRANSLATE(B25, ""en"", ""tr"")"),"Hasat bluecaps")</f>
        <v>Hasat bluecaps</v>
      </c>
      <c r="G25" s="23" t="str">
        <f ca="1">IFERROR(__xludf.DUMMYFUNCTION("GOOGLETRANSLATE(B25, ""en"", ""pt"")"),"Colheita BlueCaps.")</f>
        <v>Colheita BlueCaps.</v>
      </c>
      <c r="H25" s="24" t="str">
        <f ca="1">IFERROR(__xludf.DUMMYFUNCTION("GOOGLETRANSLATE(B25, ""en"", ""de"")"),"Ernteblüten")</f>
        <v>Ernteblüten</v>
      </c>
      <c r="I25" s="23" t="str">
        <f ca="1">IFERROR(__xludf.DUMMYFUNCTION("GOOGLETRANSLATE(B25, ""en"", ""pl"")"),"Żniwo Bluecaps.")</f>
        <v>Żniwo Bluecaps.</v>
      </c>
      <c r="J25" s="25" t="str">
        <f ca="1">IFERROR(__xludf.DUMMYFUNCTION("GOOGLETRANSLATE(B25, ""en"", ""zh"")"),"收获Blueapaps.")</f>
        <v>收获Blueapaps.</v>
      </c>
      <c r="K25" s="25" t="str">
        <f ca="1">IFERROR(__xludf.DUMMYFUNCTION("GOOGLETRANSLATE(B25, ""en"", ""vi"")"),"Thu hoạch BlueCaps.")</f>
        <v>Thu hoạch BlueCaps.</v>
      </c>
      <c r="L25" s="26" t="str">
        <f ca="1">IFERROR(__xludf.DUMMYFUNCTION("GOOGLETRANSLATE(B25, ""en"", ""hr"")"),"Berba bluecaps")</f>
        <v>Berba bluecaps</v>
      </c>
      <c r="M25" s="28"/>
      <c r="N25" s="28"/>
      <c r="O25" s="28"/>
      <c r="P25" s="28"/>
      <c r="Q25" s="28"/>
      <c r="R25" s="28"/>
      <c r="S25" s="28"/>
      <c r="T25" s="28"/>
      <c r="U25" s="28"/>
      <c r="V25" s="28"/>
      <c r="W25" s="28"/>
      <c r="X25" s="28"/>
      <c r="Y25" s="28"/>
      <c r="Z25" s="28"/>
      <c r="AA25" s="28"/>
      <c r="AB25" s="28"/>
    </row>
    <row r="26" spans="1:28" ht="15.75" customHeight="1" x14ac:dyDescent="0.15">
      <c r="A26" s="21" t="s">
        <v>1088</v>
      </c>
      <c r="B26" s="22" t="s">
        <v>1089</v>
      </c>
      <c r="C26" s="23" t="str">
        <f ca="1">IFERROR(__xludf.DUMMYFUNCTION("GOOGLETRANSLATE(B26, ""en"", ""fr"")"),"Récolte FrostCaps")</f>
        <v>Récolte FrostCaps</v>
      </c>
      <c r="D26" s="23" t="str">
        <f ca="1">IFERROR(__xludf.DUMMYFUNCTION("GOOGLETRANSLATE(B26, ""en"", ""es"")"),"Cosecha FrostCaps")</f>
        <v>Cosecha FrostCaps</v>
      </c>
      <c r="E26" s="23" t="str">
        <f ca="1">IFERROR(__xludf.DUMMYFUNCTION("GOOGLETRANSLATE(B26, ""en"", ""ru"")"),"Урожай морозования")</f>
        <v>Урожай морозования</v>
      </c>
      <c r="F26" s="23" t="str">
        <f ca="1">IFERROR(__xludf.DUMMYFUNCTION("GOOGLETRANSLATE(B26, ""en"", ""tr"")"),"Frostcaps hasat")</f>
        <v>Frostcaps hasat</v>
      </c>
      <c r="G26" s="23" t="str">
        <f ca="1">IFERROR(__xludf.DUMMYFUNCTION("GOOGLETRANSLATE(B26, ""en"", ""pt"")"),"Colheita Frostcaps.")</f>
        <v>Colheita Frostcaps.</v>
      </c>
      <c r="H26" s="24" t="str">
        <f ca="1">IFERROR(__xludf.DUMMYFUNCTION("GOOGLETRANSLATE(B26, ""en"", ""de"")"),"Ernte Frostcaps.")</f>
        <v>Ernte Frostcaps.</v>
      </c>
      <c r="I26" s="23" t="str">
        <f ca="1">IFERROR(__xludf.DUMMYFUNCTION("GOOGLETRANSLATE(B26, ""en"", ""pl"")"),"Mropraps zbiorów")</f>
        <v>Mropraps zbiorów</v>
      </c>
      <c r="J26" s="25" t="str">
        <f ca="1">IFERROR(__xludf.DUMMYFUNCTION("GOOGLETRANSLATE(B26, ""en"", ""zh"")"),"收获霜冻")</f>
        <v>收获霜冻</v>
      </c>
      <c r="K26" s="25" t="str">
        <f ca="1">IFERROR(__xludf.DUMMYFUNCTION("GOOGLETRANSLATE(B26, ""en"", ""vi"")"),"Thu hoạch frostcaps.")</f>
        <v>Thu hoạch frostcaps.</v>
      </c>
      <c r="L26" s="26" t="str">
        <f ca="1">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spans="1:28" ht="15.75" customHeight="1" x14ac:dyDescent="0.15">
      <c r="A27" s="21" t="s">
        <v>1090</v>
      </c>
      <c r="B27" s="22" t="s">
        <v>1091</v>
      </c>
      <c r="C27" s="23" t="str">
        <f ca="1">IFERROR(__xludf.DUMMYFUNCTION("GOOGLETRANSLATE(B27, ""en"", ""fr"")"),"Hacher les pins")</f>
        <v>Hacher les pins</v>
      </c>
      <c r="D27" s="23" t="str">
        <f ca="1">IFERROR(__xludf.DUMMYFUNCTION("GOOGLETRANSLATE(B27, ""en"", ""es"")"),"Picar árboles de pino")</f>
        <v>Picar árboles de pino</v>
      </c>
      <c r="E27" s="23" t="str">
        <f ca="1">IFERROR(__xludf.DUMMYFUNCTION("GOOGLETRANSLATE(B27, ""en"", ""ru"")"),"Нарезать сосны")</f>
        <v>Нарезать сосны</v>
      </c>
      <c r="F27" s="23" t="str">
        <f ca="1">IFERROR(__xludf.DUMMYFUNCTION("GOOGLETRANSLATE(B27, ""en"", ""tr"")"),"Çam ağaçları doğrayın")</f>
        <v>Çam ağaçları doğrayın</v>
      </c>
      <c r="G27" s="23" t="str">
        <f ca="1">IFERROR(__xludf.DUMMYFUNCTION("GOOGLETRANSLATE(B27, ""en"", ""pt"")"),"Pinhal de pinheiros")</f>
        <v>Pinhal de pinheiros</v>
      </c>
      <c r="H27" s="24" t="str">
        <f ca="1">IFERROR(__xludf.DUMMYFUNCTION("GOOGLETRANSLATE(B27, ""en"", ""de"")"),"Kiefern hacken")</f>
        <v>Kiefern hacken</v>
      </c>
      <c r="I27" s="23" t="str">
        <f ca="1">IFERROR(__xludf.DUMMYFUNCTION("GOOGLETRANSLATE(B27, ""en"", ""pl"")"),"Posiekać sosny")</f>
        <v>Posiekać sosny</v>
      </c>
      <c r="J27" s="25" t="str">
        <f ca="1">IFERROR(__xludf.DUMMYFUNCTION("GOOGLETRANSLATE(B27, ""en"", ""zh"")"),"砍松树")</f>
        <v>砍松树</v>
      </c>
      <c r="K27" s="25" t="str">
        <f ca="1">IFERROR(__xludf.DUMMYFUNCTION("GOOGLETRANSLATE(B27, ""en"", ""vi"")"),"Chặt cây thông")</f>
        <v>Chặt cây thông</v>
      </c>
      <c r="L27" s="26" t="str">
        <f ca="1">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spans="1:28" ht="15.75" customHeight="1" x14ac:dyDescent="0.15">
      <c r="A28" s="21" t="s">
        <v>1092</v>
      </c>
      <c r="B28" s="22" t="s">
        <v>1093</v>
      </c>
      <c r="C28" s="23" t="str">
        <f ca="1">IFERROR(__xludf.DUMMYFUNCTION("GOOGLETRANSLATE(B28, ""en"", ""fr"")"),"Hacher les arbres saule")</f>
        <v>Hacher les arbres saule</v>
      </c>
      <c r="D28" s="23" t="str">
        <f ca="1">IFERROR(__xludf.DUMMYFUNCTION("GOOGLETRANSLATE(B28, ""en"", ""es"")"),"Picar árboles de sauces")</f>
        <v>Picar árboles de sauces</v>
      </c>
      <c r="E28" s="23" t="str">
        <f ca="1">IFERROR(__xludf.DUMMYFUNCTION("GOOGLETRANSLATE(B28, ""en"", ""ru"")"),"Направьте деревья ивы")</f>
        <v>Направьте деревья ивы</v>
      </c>
      <c r="F28" s="23" t="str">
        <f ca="1">IFERROR(__xludf.DUMMYFUNCTION("GOOGLETRANSLATE(B28, ""en"", ""tr"")"),"Söğüt ağaçları doğrayın")</f>
        <v>Söğüt ağaçları doğrayın</v>
      </c>
      <c r="G28" s="23" t="str">
        <f ca="1">IFERROR(__xludf.DUMMYFUNCTION("GOOGLETRANSLATE(B28, ""en"", ""pt"")"),"Pique salgueiro")</f>
        <v>Pique salgueiro</v>
      </c>
      <c r="H28" s="24" t="str">
        <f ca="1">IFERROR(__xludf.DUMMYFUNCTION("GOOGLETRANSLATE(B28, ""en"", ""de"")"),"Willow Bäume hacken")</f>
        <v>Willow Bäume hacken</v>
      </c>
      <c r="I28" s="23" t="str">
        <f ca="1">IFERROR(__xludf.DUMMYFUNCTION("GOOGLETRANSLATE(B28, ""en"", ""pl"")"),"Kręcić wierzby")</f>
        <v>Kręcić wierzby</v>
      </c>
      <c r="J28" s="25" t="str">
        <f ca="1">IFERROR(__xludf.DUMMYFUNCTION("GOOGLETRANSLATE(B28, ""en"", ""zh"")"),"砍柳树")</f>
        <v>砍柳树</v>
      </c>
      <c r="K28" s="25" t="str">
        <f ca="1">IFERROR(__xludf.DUMMYFUNCTION("GOOGLETRANSLATE(B28, ""en"", ""vi"")"),"Cây liễu")</f>
        <v>Cây liễu</v>
      </c>
      <c r="L28" s="26" t="str">
        <f ca="1">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spans="1:28" ht="15.75" customHeight="1" x14ac:dyDescent="0.15">
      <c r="A29" s="21" t="s">
        <v>1094</v>
      </c>
      <c r="B29" s="22" t="s">
        <v>1095</v>
      </c>
      <c r="C29" s="23" t="str">
        <f ca="1">IFERROR(__xludf.DUMMYFUNCTION("GOOGLETRANSLATE(B29, ""en"", ""fr"")"),"Hacher les chênes")</f>
        <v>Hacher les chênes</v>
      </c>
      <c r="D29" s="23" t="str">
        <f ca="1">IFERROR(__xludf.DUMMYFUNCTION("GOOGLETRANSLATE(B29, ""en"", ""es"")"),"Picar robles")</f>
        <v>Picar robles</v>
      </c>
      <c r="E29" s="23" t="str">
        <f ca="1">IFERROR(__xludf.DUMMYFUNCTION("GOOGLETRANSLATE(B29, ""en"", ""ru"")"),"Нарезать дубы")</f>
        <v>Нарезать дубы</v>
      </c>
      <c r="F29" s="23" t="str">
        <f ca="1">IFERROR(__xludf.DUMMYFUNCTION("GOOGLETRANSLATE(B29, ""en"", ""tr"")"),"Meşe ağaçlarını doğrayın")</f>
        <v>Meşe ağaçlarını doğrayın</v>
      </c>
      <c r="G29" s="23" t="str">
        <f ca="1">IFERROR(__xludf.DUMMYFUNCTION("GOOGLETRANSLATE(B29, ""en"", ""pt"")"),"Pique o carvalho")</f>
        <v>Pique o carvalho</v>
      </c>
      <c r="H29" s="24" t="str">
        <f ca="1">IFERROR(__xludf.DUMMYFUNCTION("GOOGLETRANSLATE(B29, ""en"", ""de"")"),"Eiche hacken")</f>
        <v>Eiche hacken</v>
      </c>
      <c r="I29" s="23" t="str">
        <f ca="1">IFERROR(__xludf.DUMMYFUNCTION("GOOGLETRANSLATE(B29, ""en"", ""pl"")"),"Dębowe drzewa")</f>
        <v>Dębowe drzewa</v>
      </c>
      <c r="J29" s="25" t="str">
        <f ca="1">IFERROR(__xludf.DUMMYFUNCTION("GOOGLETRANSLATE(B29, ""en"", ""zh"")"),"砍橡树")</f>
        <v>砍橡树</v>
      </c>
      <c r="K29" s="25" t="str">
        <f ca="1">IFERROR(__xludf.DUMMYFUNCTION("GOOGLETRANSLATE(B29, ""en"", ""vi"")"),"Cây sồi cây")</f>
        <v>Cây sồi cây</v>
      </c>
      <c r="L29" s="26" t="str">
        <f ca="1">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spans="1:28" ht="15.75" customHeight="1" x14ac:dyDescent="0.15">
      <c r="A30" s="21" t="s">
        <v>1096</v>
      </c>
      <c r="B30" s="22" t="s">
        <v>1097</v>
      </c>
      <c r="C30" s="23" t="str">
        <f ca="1">IFERROR(__xludf.DUMMYFUNCTION("GOOGLETRANSLATE(B30, ""en"", ""fr"")"),"Minerai de fer")</f>
        <v>Minerai de fer</v>
      </c>
      <c r="D30" s="23" t="str">
        <f ca="1">IFERROR(__xludf.DUMMYFUNCTION("GOOGLETRANSLATE(B30, ""en"", ""es"")"),"Mineral de hierro minero")</f>
        <v>Mineral de hierro minero</v>
      </c>
      <c r="E30" s="23" t="str">
        <f ca="1">IFERROR(__xludf.DUMMYFUNCTION("GOOGLETRANSLATE(B30, ""en"", ""ru"")"),"Минимая железная руда")</f>
        <v>Минимая железная руда</v>
      </c>
      <c r="F30" s="23" t="str">
        <f ca="1">IFERROR(__xludf.DUMMYFUNCTION("GOOGLETRANSLATE(B30, ""en"", ""tr"")"),"Maden demir cevheri")</f>
        <v>Maden demir cevheri</v>
      </c>
      <c r="G30" s="23" t="str">
        <f ca="1">IFERROR(__xludf.DUMMYFUNCTION("GOOGLETRANSLATE(B30, ""en"", ""pt"")"),"Minério de ferro de minas")</f>
        <v>Minério de ferro de minas</v>
      </c>
      <c r="H30" s="24" t="str">
        <f ca="1">IFERROR(__xludf.DUMMYFUNCTION("GOOGLETRANSLATE(B30, ""en"", ""de"")"),"Mineneisenerz.")</f>
        <v>Mineneisenerz.</v>
      </c>
      <c r="I30" s="23" t="str">
        <f ca="1">IFERROR(__xludf.DUMMYFUNCTION("GOOGLETRANSLATE(B30, ""en"", ""pl"")"),"Mój żelaza rudy")</f>
        <v>Mój żelaza rudy</v>
      </c>
      <c r="J30" s="25" t="str">
        <f ca="1">IFERROR(__xludf.DUMMYFUNCTION("GOOGLETRANSLATE(B30, ""en"", ""zh"")"),"矿铁矿石")</f>
        <v>矿铁矿石</v>
      </c>
      <c r="K30" s="25" t="str">
        <f ca="1">IFERROR(__xludf.DUMMYFUNCTION("GOOGLETRANSLATE(B30, ""en"", ""vi"")"),"Mỏ sắt quặng")</f>
        <v>Mỏ sắt quặng</v>
      </c>
      <c r="L30" s="26" t="str">
        <f ca="1">IFERROR(__xludf.DUMMYFUNCTION("GOOGLETRANSLATE(B30, ""en"", ""hr"")"),"Ruda od mina")</f>
        <v>Ruda od mina</v>
      </c>
      <c r="M30" s="28"/>
      <c r="N30" s="28"/>
      <c r="O30" s="28"/>
      <c r="P30" s="28"/>
      <c r="Q30" s="28"/>
      <c r="R30" s="28"/>
      <c r="S30" s="28"/>
      <c r="T30" s="28"/>
      <c r="U30" s="28"/>
      <c r="V30" s="28"/>
      <c r="W30" s="28"/>
      <c r="X30" s="28"/>
      <c r="Y30" s="28"/>
      <c r="Z30" s="28"/>
      <c r="AA30" s="28"/>
      <c r="AB30" s="28"/>
    </row>
    <row r="31" spans="1:28" ht="15.75" customHeight="1" x14ac:dyDescent="0.15">
      <c r="A31" s="21" t="s">
        <v>1098</v>
      </c>
      <c r="B31" s="22" t="s">
        <v>1099</v>
      </c>
      <c r="C31" s="23" t="str">
        <f ca="1">IFERROR(__xludf.DUMMYFUNCTION("GOOGLETRANSLATE(B31, ""en"", ""fr"")"),"Minez le minerai de Dungium")</f>
        <v>Minez le minerai de Dungium</v>
      </c>
      <c r="D31" s="23" t="str">
        <f ca="1">IFERROR(__xludf.DUMMYFUNCTION("GOOGLETRANSLATE(B31, ""en"", ""es"")"),"Mineral de dungium de la mina")</f>
        <v>Mineral de dungium de la mina</v>
      </c>
      <c r="E31" s="23" t="str">
        <f ca="1">IFERROR(__xludf.DUMMYFUNCTION("GOOGLETRANSLATE(B31, ""en"", ""ru"")"),"Шахта дюнгуйской руды")</f>
        <v>Шахта дюнгуйской руды</v>
      </c>
      <c r="F31" s="23" t="str">
        <f ca="1">IFERROR(__xludf.DUMMYFUNCTION("GOOGLETRANSLATE(B31, ""en"", ""tr"")"),"Mine Dungium cevheri")</f>
        <v>Mine Dungium cevheri</v>
      </c>
      <c r="G31" s="23" t="str">
        <f ca="1">IFERROR(__xludf.DUMMYFUNCTION("GOOGLETRANSLATE(B31, ""en"", ""pt"")"),"Meu minério de dungium")</f>
        <v>Meu minério de dungium</v>
      </c>
      <c r="H31" s="24" t="str">
        <f ca="1">IFERROR(__xludf.DUMMYFUNCTION("GOOGLETRANSLATE(B31, ""en"", ""de"")"),"Mine Dungiumerz.")</f>
        <v>Mine Dungiumerz.</v>
      </c>
      <c r="I31" s="23" t="str">
        <f ca="1">IFERROR(__xludf.DUMMYFUNCTION("GOOGLETRANSLATE(B31, ""en"", ""pl"")"),"Kopalnia Ore Dungium.")</f>
        <v>Kopalnia Ore Dungium.</v>
      </c>
      <c r="J31" s="25" t="str">
        <f ca="1">IFERROR(__xludf.DUMMYFUNCTION("GOOGLETRANSLATE(B31, ""en"", ""zh"")"),"矿山矿石")</f>
        <v>矿山矿石</v>
      </c>
      <c r="K31" s="25" t="str">
        <f ca="1">IFERROR(__xludf.DUMMYFUNCTION("GOOGLETRANSLATE(B31, ""en"", ""vi"")"),"Khai thác dầu dunge")</f>
        <v>Khai thác dầu dunge</v>
      </c>
      <c r="L31" s="26" t="str">
        <f ca="1">IFERROR(__xludf.DUMMYFUNCTION("GOOGLETRANSLATE(B31, ""en"", ""hr"")"),"Rudnik rude")</f>
        <v>Rudnik rude</v>
      </c>
      <c r="M31" s="28"/>
      <c r="N31" s="28"/>
      <c r="O31" s="28"/>
      <c r="P31" s="28"/>
      <c r="Q31" s="28"/>
      <c r="R31" s="28"/>
      <c r="S31" s="28"/>
      <c r="T31" s="28"/>
      <c r="U31" s="28"/>
      <c r="V31" s="28"/>
      <c r="W31" s="28"/>
      <c r="X31" s="28"/>
      <c r="Y31" s="28"/>
      <c r="Z31" s="28"/>
      <c r="AA31" s="28"/>
      <c r="AB31" s="28"/>
    </row>
    <row r="32" spans="1:28" ht="15.75" customHeight="1" x14ac:dyDescent="0.15">
      <c r="A32" s="21" t="s">
        <v>1100</v>
      </c>
      <c r="B32" s="22" t="s">
        <v>1101</v>
      </c>
      <c r="C32" s="23" t="str">
        <f ca="1">IFERROR(__xludf.DUMMYFUNCTION("GOOGLETRANSLATE(B32, ""en"", ""fr"")"),"Minez l'agonite minerai")</f>
        <v>Minez l'agonite minerai</v>
      </c>
      <c r="D32" s="23" t="str">
        <f ca="1">IFERROR(__xludf.DUMMYFUNCTION("GOOGLETRANSLATE(B32, ""en"", ""es"")"),"Mina agonita mineral")</f>
        <v>Mina agonita mineral</v>
      </c>
      <c r="E32" s="23" t="str">
        <f ca="1">IFERROR(__xludf.DUMMYFUNCTION("GOOGLETRANSLATE(B32, ""en"", ""ru"")"),"Шахта агонита руды")</f>
        <v>Шахта агонита руды</v>
      </c>
      <c r="F32" s="23" t="str">
        <f ca="1">IFERROR(__xludf.DUMMYFUNCTION("GOOGLETRANSLATE(B32, ""en"", ""tr"")"),"Maden Agonite cevheri")</f>
        <v>Maden Agonite cevheri</v>
      </c>
      <c r="G32" s="23" t="str">
        <f ca="1">IFERROR(__xludf.DUMMYFUNCTION("GOOGLETRANSLATE(B32, ""en"", ""pt"")"),"Minério de agonite da mina")</f>
        <v>Minério de agonite da mina</v>
      </c>
      <c r="H32" s="24" t="str">
        <f ca="1">IFERROR(__xludf.DUMMYFUNCTION("GOOGLETRANSLATE(B32, ""en"", ""de"")"),"Mine Agoniteerz.")</f>
        <v>Mine Agoniteerz.</v>
      </c>
      <c r="I32" s="23" t="str">
        <f ca="1">IFERROR(__xludf.DUMMYFUNCTION("GOOGLETRANSLATE(B32, ""en"", ""pl"")"),"Kopalnia Agonite Ore.")</f>
        <v>Kopalnia Agonite Ore.</v>
      </c>
      <c r="J32" s="25" t="str">
        <f ca="1">IFERROR(__xludf.DUMMYFUNCTION("GOOGLETRANSLATE(B32, ""en"", ""zh"")"),"矿山艾莫矿")</f>
        <v>矿山艾莫矿</v>
      </c>
      <c r="K32" s="25" t="str">
        <f ca="1">IFERROR(__xludf.DUMMYFUNCTION("GOOGLETRANSLATE(B32, ""en"", ""vi"")"),"Quặng agonite của tôi")</f>
        <v>Quặng agonite của tôi</v>
      </c>
      <c r="L32" s="26" t="str">
        <f ca="1">IFERROR(__xludf.DUMMYFUNCTION("GOOGLETRANSLATE(B32, ""en"", ""hr"")"),"Rudni agonit")</f>
        <v>Rudni agonit</v>
      </c>
      <c r="M32" s="28"/>
      <c r="N32" s="28"/>
      <c r="O32" s="28"/>
      <c r="P32" s="28"/>
      <c r="Q32" s="28"/>
      <c r="R32" s="28"/>
      <c r="S32" s="28"/>
      <c r="T32" s="28"/>
      <c r="U32" s="28"/>
      <c r="V32" s="28"/>
      <c r="W32" s="28"/>
      <c r="X32" s="28"/>
      <c r="Y32" s="28"/>
      <c r="Z32" s="28"/>
      <c r="AA32" s="28"/>
      <c r="AB32" s="28"/>
    </row>
    <row r="33" spans="1:28" ht="15.75" customHeight="1" x14ac:dyDescent="0.15">
      <c r="A33" s="21" t="s">
        <v>1102</v>
      </c>
      <c r="B33" s="22" t="s">
        <v>1103</v>
      </c>
      <c r="C33" s="23" t="str">
        <f ca="1">IFERROR(__xludf.DUMMYFUNCTION("GOOGLETRANSLATE(B33, ""en"", ""fr"")"),"Minier noctis minerai")</f>
        <v>Minier noctis minerai</v>
      </c>
      <c r="D33" s="23" t="str">
        <f ca="1">IFERROR(__xludf.DUMMYFUNCTION("GOOGLETRANSLATE(B33, ""en"", ""es"")"),"Mina noctis mineral")</f>
        <v>Mina noctis mineral</v>
      </c>
      <c r="E33" s="23" t="str">
        <f ca="1">IFERROR(__xludf.DUMMYFUNCTION("GOOGLETRANSLATE(B33, ""en"", ""ru"")"),"Шахта ноктиса руды")</f>
        <v>Шахта ноктиса руды</v>
      </c>
      <c r="F33" s="23" t="str">
        <f ca="1">IFERROR(__xludf.DUMMYFUNCTION("GOOGLETRANSLATE(B33, ""en"", ""tr"")"),"Mayın noctis cevheri")</f>
        <v>Mayın noctis cevheri</v>
      </c>
      <c r="G33" s="23" t="str">
        <f ca="1">IFERROR(__xludf.DUMMYFUNCTION("GOOGLETRANSLATE(B33, ""en"", ""pt"")"),"Mine noctis minério.")</f>
        <v>Mine noctis minério.</v>
      </c>
      <c r="H33" s="24" t="str">
        <f ca="1">IFERROR(__xludf.DUMMYFUNCTION("GOOGLETRANSLATE(B33, ""en"", ""de"")"),"MINE NOCTIS ORE.")</f>
        <v>MINE NOCTIS ORE.</v>
      </c>
      <c r="I33" s="23" t="str">
        <f ca="1">IFERROR(__xludf.DUMMYFUNCTION("GOOGLETRANSLATE(B33, ""en"", ""pl"")"),"Mine Noctis Ore.")</f>
        <v>Mine Noctis Ore.</v>
      </c>
      <c r="J33" s="25" t="str">
        <f ca="1">IFERROR(__xludf.DUMMYFUNCTION("GOOGLETRANSLATE(B33, ""en"", ""zh"")"),"矿山夜岛矿石")</f>
        <v>矿山夜岛矿石</v>
      </c>
      <c r="K33" s="25" t="str">
        <f ca="1">IFERROR(__xludf.DUMMYFUNCTION("GOOGLETRANSLATE(B33, ""en"", ""vi"")"),"Mỏ Noctis Ore.")</f>
        <v>Mỏ Noctis Ore.</v>
      </c>
      <c r="L33" s="26" t="str">
        <f ca="1">IFERROR(__xludf.DUMMYFUNCTION("GOOGLETRANSLATE(B33, ""en"", ""hr"")"),"Ruda od mina")</f>
        <v>Ruda od mina</v>
      </c>
      <c r="M33" s="28"/>
      <c r="N33" s="28"/>
      <c r="O33" s="28"/>
      <c r="P33" s="28"/>
      <c r="Q33" s="28"/>
      <c r="R33" s="28"/>
      <c r="S33" s="28"/>
      <c r="T33" s="28"/>
      <c r="U33" s="28"/>
      <c r="V33" s="28"/>
      <c r="W33" s="28"/>
      <c r="X33" s="28"/>
      <c r="Y33" s="28"/>
      <c r="Z33" s="28"/>
      <c r="AA33" s="28"/>
      <c r="AB33" s="28"/>
    </row>
    <row r="34" spans="1:28" ht="15.75" customHeight="1" x14ac:dyDescent="0.15">
      <c r="A34" s="21" t="s">
        <v>1104</v>
      </c>
      <c r="B34" s="22" t="s">
        <v>1105</v>
      </c>
      <c r="C34" s="23" t="str">
        <f ca="1">IFERROR(__xludf.DUMMYFUNCTION("GOOGLETRANSLATE(B34, ""en"", ""fr"")"),"Flèches d'artisanat")</f>
        <v>Flèches d'artisanat</v>
      </c>
      <c r="D34" s="23" t="str">
        <f ca="1">IFERROR(__xludf.DUMMYFUNCTION("GOOGLETRANSLATE(B34, ""en"", ""es"")"),"Flechas artesanales")</f>
        <v>Flechas artesanales</v>
      </c>
      <c r="E34" s="23" t="str">
        <f ca="1">IFERROR(__xludf.DUMMYFUNCTION("GOOGLETRANSLATE(B34, ""en"", ""ru"")"),"Стрелки ремесло")</f>
        <v>Стрелки ремесло</v>
      </c>
      <c r="F34" s="23" t="str">
        <f ca="1">IFERROR(__xludf.DUMMYFUNCTION("GOOGLETRANSLATE(B34, ""en"", ""tr"")"),"Zanaat okları")</f>
        <v>Zanaat okları</v>
      </c>
      <c r="G34" s="23" t="str">
        <f ca="1">IFERROR(__xludf.DUMMYFUNCTION("GOOGLETRANSLATE(B34, ""en"", ""pt"")"),"Flechas de artesanato")</f>
        <v>Flechas de artesanato</v>
      </c>
      <c r="H34" s="24" t="str">
        <f ca="1">IFERROR(__xludf.DUMMYFUNCTION("GOOGLETRANSLATE(B34, ""en"", ""de"")"),"Bastelpfeile")</f>
        <v>Bastelpfeile</v>
      </c>
      <c r="I34" s="23" t="str">
        <f ca="1">IFERROR(__xludf.DUMMYFUNCTION("GOOGLETRANSLATE(B34, ""en"", ""pl"")"),"Strzałki rzemieślnicze.")</f>
        <v>Strzałki rzemieślnicze.</v>
      </c>
      <c r="J34" s="25" t="str">
        <f ca="1">IFERROR(__xludf.DUMMYFUNCTION("GOOGLETRANSLATE(B34, ""en"", ""zh"")"),"工艺箭头")</f>
        <v>工艺箭头</v>
      </c>
      <c r="K34" s="25" t="str">
        <f ca="1">IFERROR(__xludf.DUMMYFUNCTION("GOOGLETRANSLATE(B34, ""en"", ""vi"")"),"Mũi tên thủ công")</f>
        <v>Mũi tên thủ công</v>
      </c>
      <c r="L34" s="26" t="str">
        <f ca="1">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spans="1:28" ht="15.75" customHeight="1" x14ac:dyDescent="0.15">
      <c r="A35" s="21" t="s">
        <v>1106</v>
      </c>
      <c r="B35" s="22" t="s">
        <v>1107</v>
      </c>
      <c r="C35" s="23" t="str">
        <f ca="1">IFERROR(__xludf.DUMMYFUNCTION("GOOGLETRANSLATE(B35, ""en"", ""fr"")"),"Craft Daggers")</f>
        <v>Craft Daggers</v>
      </c>
      <c r="D35" s="23" t="str">
        <f ca="1">IFERROR(__xludf.DUMMYFUNCTION("GOOGLETRANSLATE(B35, ""en"", ""es"")"),"Dagas artesanales")</f>
        <v>Dagas artesanales</v>
      </c>
      <c r="E35" s="23" t="str">
        <f ca="1">IFERROR(__xludf.DUMMYFUNCTION("GOOGLETRANSLATE(B35, ""en"", ""ru"")"),"Ремесленники")</f>
        <v>Ремесленники</v>
      </c>
      <c r="F35" s="23" t="str">
        <f ca="1">IFERROR(__xludf.DUMMYFUNCTION("GOOGLETRANSLATE(B35, ""en"", ""tr"")"),"Zanaat hançerleri")</f>
        <v>Zanaat hançerleri</v>
      </c>
      <c r="G35" s="23" t="str">
        <f ca="1">IFERROR(__xludf.DUMMYFUNCTION("GOOGLETRANSLATE(B35, ""en"", ""pt"")"),"Adagas de artesanato")</f>
        <v>Adagas de artesanato</v>
      </c>
      <c r="H35" s="24" t="str">
        <f ca="1">IFERROR(__xludf.DUMMYFUNCTION("GOOGLETRANSLATE(B35, ""en"", ""de"")"),"Handwerkliche Dolche")</f>
        <v>Handwerkliche Dolche</v>
      </c>
      <c r="I35" s="23" t="str">
        <f ca="1">IFERROR(__xludf.DUMMYFUNCTION("GOOGLETRANSLATE(B35, ""en"", ""pl"")"),"Rzemiosły sztylety")</f>
        <v>Rzemiosły sztylety</v>
      </c>
      <c r="J35" s="25" t="str">
        <f ca="1">IFERROR(__xludf.DUMMYFUNCTION("GOOGLETRANSLATE(B35, ""en"", ""zh"")"),"工艺匕首")</f>
        <v>工艺匕首</v>
      </c>
      <c r="K35" s="25" t="str">
        <f ca="1">IFERROR(__xludf.DUMMYFUNCTION("GOOGLETRANSLATE(B35, ""en"", ""vi"")"),"Craft Daggers.")</f>
        <v>Craft Daggers.</v>
      </c>
      <c r="L35" s="26" t="str">
        <f ca="1">IFERROR(__xludf.DUMMYFUNCTION("GOOGLETRANSLATE(B35, ""en"", ""hr"")"),"Djela")</f>
        <v>Djela</v>
      </c>
      <c r="M35" s="28"/>
      <c r="N35" s="28"/>
      <c r="O35" s="28"/>
      <c r="P35" s="28"/>
      <c r="Q35" s="28"/>
      <c r="R35" s="28"/>
      <c r="S35" s="28"/>
      <c r="T35" s="28"/>
      <c r="U35" s="28"/>
      <c r="V35" s="28"/>
      <c r="W35" s="28"/>
      <c r="X35" s="28"/>
      <c r="Y35" s="28"/>
      <c r="Z35" s="28"/>
      <c r="AA35" s="28"/>
      <c r="AB35" s="28"/>
    </row>
    <row r="36" spans="1:28" ht="15.75" customHeight="1" x14ac:dyDescent="0.15">
      <c r="A36" s="21" t="s">
        <v>1108</v>
      </c>
      <c r="B36" s="22" t="s">
        <v>1109</v>
      </c>
      <c r="C36" s="23" t="str">
        <f ca="1">IFERROR(__xludf.DUMMYFUNCTION("GOOGLETRANSLATE(B36, ""en"", ""fr"")"),"Épées d'artisanat")</f>
        <v>Épées d'artisanat</v>
      </c>
      <c r="D36" s="23" t="str">
        <f ca="1">IFERROR(__xludf.DUMMYFUNCTION("GOOGLETRANSLATE(B36, ""en"", ""es"")"),"Espadas de artesanía")</f>
        <v>Espadas de artesanía</v>
      </c>
      <c r="E36" s="23" t="str">
        <f ca="1">IFERROR(__xludf.DUMMYFUNCTION("GOOGLETRANSLATE(B36, ""en"", ""ru"")"),"Ремесленные мечи")</f>
        <v>Ремесленные мечи</v>
      </c>
      <c r="F36" s="23" t="str">
        <f ca="1">IFERROR(__xludf.DUMMYFUNCTION("GOOGLETRANSLATE(B36, ""en"", ""tr"")"),"Zanaat kılıç")</f>
        <v>Zanaat kılıç</v>
      </c>
      <c r="G36" s="23" t="str">
        <f ca="1">IFERROR(__xludf.DUMMYFUNCTION("GOOGLETRANSLATE(B36, ""en"", ""pt"")"),"Espadas de artesanato")</f>
        <v>Espadas de artesanato</v>
      </c>
      <c r="H36" s="24" t="str">
        <f ca="1">IFERROR(__xludf.DUMMYFUNCTION("GOOGLETRANSLATE(B36, ""en"", ""de"")"),"Handwerksschwerter")</f>
        <v>Handwerksschwerter</v>
      </c>
      <c r="I36" s="23" t="str">
        <f ca="1">IFERROR(__xludf.DUMMYFUNCTION("GOOGLETRANSLATE(B36, ""en"", ""pl"")"),"Craft Swords.")</f>
        <v>Craft Swords.</v>
      </c>
      <c r="J36" s="25" t="str">
        <f ca="1">IFERROR(__xludf.DUMMYFUNCTION("GOOGLETRANSLATE(B36, ""en"", ""zh"")"),"工艺剑")</f>
        <v>工艺剑</v>
      </c>
      <c r="K36" s="25" t="str">
        <f ca="1">IFERROR(__xludf.DUMMYFUNCTION("GOOGLETRANSLATE(B36, ""en"", ""vi"")"),"Swords thủ công.")</f>
        <v>Swords thủ công.</v>
      </c>
      <c r="L36" s="26" t="str">
        <f ca="1">IFERROR(__xludf.DUMMYFUNCTION("GOOGLETRANSLATE(B36, ""en"", ""hr"")"),"Obrtni mačevi")</f>
        <v>Obrtni mačevi</v>
      </c>
      <c r="M36" s="28"/>
      <c r="N36" s="28"/>
      <c r="O36" s="28"/>
      <c r="P36" s="28"/>
      <c r="Q36" s="28"/>
      <c r="R36" s="28"/>
      <c r="S36" s="28"/>
      <c r="T36" s="28"/>
      <c r="U36" s="28"/>
      <c r="V36" s="28"/>
      <c r="W36" s="28"/>
      <c r="X36" s="28"/>
      <c r="Y36" s="28"/>
      <c r="Z36" s="28"/>
      <c r="AA36" s="28"/>
      <c r="AB36" s="28"/>
    </row>
    <row r="37" spans="1:28" ht="15.75" customHeight="1" x14ac:dyDescent="0.15">
      <c r="A37" s="21" t="s">
        <v>1110</v>
      </c>
      <c r="B37" s="22" t="s">
        <v>1111</v>
      </c>
      <c r="C37" s="23" t="str">
        <f ca="1">IFERROR(__xludf.DUMMYFUNCTION("GOOGLETRANSLATE(B37, ""en"", ""fr"")"),"Marteaux artisanaux")</f>
        <v>Marteaux artisanaux</v>
      </c>
      <c r="D37" s="23" t="str">
        <f ca="1">IFERROR(__xludf.DUMMYFUNCTION("GOOGLETRANSLATE(B37, ""en"", ""es"")"),"Martillos artesanales")</f>
        <v>Martillos artesanales</v>
      </c>
      <c r="E37" s="23" t="str">
        <f ca="1">IFERROR(__xludf.DUMMYFUNCTION("GOOGLETRANSLATE(B37, ""en"", ""ru"")"),"Ремесленные молотки")</f>
        <v>Ремесленные молотки</v>
      </c>
      <c r="F37" s="23" t="str">
        <f ca="1">IFERROR(__xludf.DUMMYFUNCTION("GOOGLETRANSLATE(B37, ""en"", ""tr"")"),"Zanaat çekiçleri")</f>
        <v>Zanaat çekiçleri</v>
      </c>
      <c r="G37" s="23" t="str">
        <f ca="1">IFERROR(__xludf.DUMMYFUNCTION("GOOGLETRANSLATE(B37, ""en"", ""pt"")"),"Martelos de artesanato")</f>
        <v>Martelos de artesanato</v>
      </c>
      <c r="H37" s="24" t="str">
        <f ca="1">IFERROR(__xludf.DUMMYFUNCTION("GOOGLETRANSLATE(B37, ""en"", ""de"")"),"Craft Hammers.")</f>
        <v>Craft Hammers.</v>
      </c>
      <c r="I37" s="23" t="str">
        <f ca="1">IFERROR(__xludf.DUMMYFUNCTION("GOOGLETRANSLATE(B37, ""en"", ""pl"")"),"Rzemiosło młotki")</f>
        <v>Rzemiosło młotki</v>
      </c>
      <c r="J37" s="25" t="str">
        <f ca="1">IFERROR(__xludf.DUMMYFUNCTION("GOOGLETRANSLATE(B37, ""en"", ""zh"")"),"工艺锤子")</f>
        <v>工艺锤子</v>
      </c>
      <c r="K37" s="25" t="str">
        <f ca="1">IFERROR(__xludf.DUMMYFUNCTION("GOOGLETRANSLATE(B37, ""en"", ""vi"")"),"Hammer thủ công")</f>
        <v>Hammer thủ công</v>
      </c>
      <c r="L37" s="26" t="str">
        <f ca="1">IFERROR(__xludf.DUMMYFUNCTION("GOOGLETRANSLATE(B37, ""en"", ""hr"")"),"Obrtnici")</f>
        <v>Obrtnici</v>
      </c>
      <c r="M37" s="28"/>
      <c r="N37" s="28"/>
      <c r="O37" s="28"/>
      <c r="P37" s="28"/>
      <c r="Q37" s="28"/>
      <c r="R37" s="28"/>
      <c r="S37" s="28"/>
      <c r="T37" s="28"/>
      <c r="U37" s="28"/>
      <c r="V37" s="28"/>
      <c r="W37" s="28"/>
      <c r="X37" s="28"/>
      <c r="Y37" s="28"/>
      <c r="Z37" s="28"/>
      <c r="AA37" s="28"/>
      <c r="AB37" s="28"/>
    </row>
    <row r="38" spans="1:28" ht="15.75" customHeight="1" x14ac:dyDescent="0.15">
      <c r="A38" s="21" t="s">
        <v>1112</v>
      </c>
      <c r="B38" s="22" t="s">
        <v>1113</v>
      </c>
      <c r="C38" s="23" t="str">
        <f ca="1">IFERROR(__xludf.DUMMYFUNCTION("GOOGLETRANSLATE(B38, ""en"", ""fr"")"),"Artisanat Shurikens")</f>
        <v>Artisanat Shurikens</v>
      </c>
      <c r="D38" s="23" t="str">
        <f ca="1">IFERROR(__xludf.DUMMYFUNCTION("GOOGLETRANSLATE(B38, ""en"", ""es"")"),"Manualidades shurikens")</f>
        <v>Manualidades shurikens</v>
      </c>
      <c r="E38" s="23" t="str">
        <f ca="1">IFERROR(__xludf.DUMMYFUNCTION("GOOGLETRANSLATE(B38, ""en"", ""ru"")"),"Craft Shurikens")</f>
        <v>Craft Shurikens</v>
      </c>
      <c r="F38" s="23" t="str">
        <f ca="1">IFERROR(__xludf.DUMMYFUNCTION("GOOGLETRANSLATE(B38, ""en"", ""tr"")"),"Zanaat shurikens")</f>
        <v>Zanaat shurikens</v>
      </c>
      <c r="G38" s="23" t="str">
        <f ca="1">IFERROR(__xludf.DUMMYFUNCTION("GOOGLETRANSLATE(B38, ""en"", ""pt"")"),"Shurikens de artesanato")</f>
        <v>Shurikens de artesanato</v>
      </c>
      <c r="H38" s="24" t="str">
        <f ca="1">IFERROR(__xludf.DUMMYFUNCTION("GOOGLETRANSLATE(B38, ""en"", ""de"")"),"Craft Shurikens.")</f>
        <v>Craft Shurikens.</v>
      </c>
      <c r="I38" s="23" t="str">
        <f ca="1">IFERROR(__xludf.DUMMYFUNCTION("GOOGLETRANSLATE(B38, ""en"", ""pl"")"),"Rzemiosło shurikens.")</f>
        <v>Rzemiosło shurikens.</v>
      </c>
      <c r="J38" s="25" t="str">
        <f ca="1">IFERROR(__xludf.DUMMYFUNCTION("GOOGLETRANSLATE(B38, ""en"", ""zh"")"),"工艺shurikens.")</f>
        <v>工艺shurikens.</v>
      </c>
      <c r="K38" s="25" t="str">
        <f ca="1">IFERROR(__xludf.DUMMYFUNCTION("GOOGLETRANSLATE(B38, ""en"", ""vi"")"),"Craft Shurikens.")</f>
        <v>Craft Shurikens.</v>
      </c>
      <c r="L38" s="26" t="str">
        <f ca="1">IFERROR(__xludf.DUMMYFUNCTION("GOOGLETRANSLATE(B38, ""en"", ""hr"")"),"Širikens")</f>
        <v>Širikens</v>
      </c>
      <c r="M38" s="28"/>
      <c r="N38" s="28"/>
      <c r="O38" s="28"/>
      <c r="P38" s="28"/>
      <c r="Q38" s="28"/>
      <c r="R38" s="28"/>
      <c r="S38" s="28"/>
      <c r="T38" s="28"/>
      <c r="U38" s="28"/>
      <c r="V38" s="28"/>
      <c r="W38" s="28"/>
      <c r="X38" s="28"/>
      <c r="Y38" s="28"/>
      <c r="Z38" s="28"/>
      <c r="AA38" s="28"/>
      <c r="AB38" s="28"/>
    </row>
    <row r="39" spans="1:28" ht="15.75" customHeight="1" x14ac:dyDescent="0.15">
      <c r="A39" s="21" t="s">
        <v>1114</v>
      </c>
      <c r="B39" s="22" t="s">
        <v>1115</v>
      </c>
      <c r="C39" s="23" t="str">
        <f ca="1">IFERROR(__xludf.DUMMYFUNCTION("GOOGLETRANSLATE(B39, ""en"", ""fr"")"),"Artisanat arcs")</f>
        <v>Artisanat arcs</v>
      </c>
      <c r="D39" s="23" t="str">
        <f ca="1">IFERROR(__xludf.DUMMYFUNCTION("GOOGLETRANSLATE(B39, ""en"", ""es"")"),"Artesanía")</f>
        <v>Artesanía</v>
      </c>
      <c r="E39" s="23" t="str">
        <f ca="1">IFERROR(__xludf.DUMMYFUNCTION("GOOGLETRANSLATE(B39, ""en"", ""ru"")"),"Луки ремесла")</f>
        <v>Луки ремесла</v>
      </c>
      <c r="F39" s="23" t="str">
        <f ca="1">IFERROR(__xludf.DUMMYFUNCTION("GOOGLETRANSLATE(B39, ""en"", ""tr"")"),"Zanaat yayları")</f>
        <v>Zanaat yayları</v>
      </c>
      <c r="G39" s="23" t="str">
        <f ca="1">IFERROR(__xludf.DUMMYFUNCTION("GOOGLETRANSLATE(B39, ""en"", ""pt"")"),"Arcos de artesanato")</f>
        <v>Arcos de artesanato</v>
      </c>
      <c r="H39" s="24" t="str">
        <f ca="1">IFERROR(__xludf.DUMMYFUNCTION("GOOGLETRANSLATE(B39, ""en"", ""de"")"),"CRAFT BOWS.")</f>
        <v>CRAFT BOWS.</v>
      </c>
      <c r="I39" s="23" t="str">
        <f ca="1">IFERROR(__xludf.DUMMYFUNCTION("GOOGLETRANSLATE(B39, ""en"", ""pl"")"),"Łęki rzemiosła")</f>
        <v>Łęki rzemiosła</v>
      </c>
      <c r="J39" s="25" t="str">
        <f ca="1">IFERROR(__xludf.DUMMYFUNCTION("GOOGLETRANSLATE(B39, ""en"", ""zh"")"),"工艺弓")</f>
        <v>工艺弓</v>
      </c>
      <c r="K39" s="25" t="str">
        <f ca="1">IFERROR(__xludf.DUMMYFUNCTION("GOOGLETRANSLATE(B39, ""en"", ""vi"")"),"Cung thủ công")</f>
        <v>Cung thủ công</v>
      </c>
      <c r="L39" s="26" t="str">
        <f ca="1">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spans="1:28" ht="15.75" customHeight="1" x14ac:dyDescent="0.15">
      <c r="A40" s="21" t="s">
        <v>1116</v>
      </c>
      <c r="B40" s="22" t="s">
        <v>1117</v>
      </c>
      <c r="C40" s="23" t="str">
        <f ca="1">IFERROR(__xludf.DUMMYFUNCTION("GOOGLETRANSLATE(B40, ""en"", ""fr"")"),"Staff artisanat")</f>
        <v>Staff artisanat</v>
      </c>
      <c r="D40" s="23" t="str">
        <f ca="1">IFERROR(__xludf.DUMMYFUNCTION("GOOGLETRANSLATE(B40, ""en"", ""es"")"),"Personal de artesanía")</f>
        <v>Personal de artesanía</v>
      </c>
      <c r="E40" s="23" t="str">
        <f ca="1">IFERROR(__xludf.DUMMYFUNCTION("GOOGLETRANSLATE(B40, ""en"", ""ru"")"),"Сотрудники ремесла")</f>
        <v>Сотрудники ремесла</v>
      </c>
      <c r="F40" s="23" t="str">
        <f ca="1">IFERROR(__xludf.DUMMYFUNCTION("GOOGLETRANSLATE(B40, ""en"", ""tr"")"),"Zanaat personel")</f>
        <v>Zanaat personel</v>
      </c>
      <c r="G40" s="23" t="str">
        <f ca="1">IFERROR(__xludf.DUMMYFUNCTION("GOOGLETRANSLATE(B40, ""en"", ""pt"")"),"Equipes de artesanato")</f>
        <v>Equipes de artesanato</v>
      </c>
      <c r="H40" s="24" t="str">
        <f ca="1">IFERROR(__xludf.DUMMYFUNCTION("GOOGLETRANSLATE(B40, ""en"", ""de"")"),"Handwerkliche Mitarbeiter")</f>
        <v>Handwerkliche Mitarbeiter</v>
      </c>
      <c r="I40" s="23" t="str">
        <f ca="1">IFERROR(__xludf.DUMMYFUNCTION("GOOGLETRANSLATE(B40, ""en"", ""pl"")"),"Sztabki rzemieślnicze")</f>
        <v>Sztabki rzemieślnicze</v>
      </c>
      <c r="J40" s="25" t="str">
        <f ca="1">IFERROR(__xludf.DUMMYFUNCTION("GOOGLETRANSLATE(B40, ""en"", ""zh"")"),"工艺人员")</f>
        <v>工艺人员</v>
      </c>
      <c r="K40" s="25" t="str">
        <f ca="1">IFERROR(__xludf.DUMMYFUNCTION("GOOGLETRANSLATE(B40, ""en"", ""vi"")"),"Nhân viên thủ công")</f>
        <v>Nhân viên thủ công</v>
      </c>
      <c r="L40" s="26" t="str">
        <f ca="1">IFERROR(__xludf.DUMMYFUNCTION("GOOGLETRANSLATE(B40, ""en"", ""hr"")"),"Plovilo")</f>
        <v>Plovilo</v>
      </c>
      <c r="M40" s="28"/>
      <c r="N40" s="28"/>
      <c r="O40" s="28"/>
      <c r="P40" s="28"/>
      <c r="Q40" s="28"/>
      <c r="R40" s="28"/>
      <c r="S40" s="28"/>
      <c r="T40" s="28"/>
      <c r="U40" s="28"/>
      <c r="V40" s="28"/>
      <c r="W40" s="28"/>
      <c r="X40" s="28"/>
      <c r="Y40" s="28"/>
      <c r="Z40" s="28"/>
      <c r="AA40" s="28"/>
      <c r="AB40" s="28"/>
    </row>
    <row r="41" spans="1:28" ht="15.75" customHeight="1" x14ac:dyDescent="0.15">
      <c r="A41" s="21" t="s">
        <v>1118</v>
      </c>
      <c r="B41" s="22" t="s">
        <v>1119</v>
      </c>
      <c r="C41" s="23" t="str">
        <f ca="1">IFERROR(__xludf.DUMMYFUNCTION("GOOGLETRANSLATE(B41, ""en"", ""fr"")"),"Hache d'artisanat")</f>
        <v>Hache d'artisanat</v>
      </c>
      <c r="D41" s="23" t="str">
        <f ca="1">IFERROR(__xludf.DUMMYFUNCTION("GOOGLETRANSLATE(B41, ""en"", ""es"")"),"Hachas de artesanía")</f>
        <v>Hachas de artesanía</v>
      </c>
      <c r="E41" s="23" t="str">
        <f ca="1">IFERROR(__xludf.DUMMYFUNCTION("GOOGLETRANSLATE(B41, ""en"", ""ru"")"),"Ремесленные топорки")</f>
        <v>Ремесленные топорки</v>
      </c>
      <c r="F41" s="23" t="str">
        <f ca="1">IFERROR(__xludf.DUMMYFUNCTION("GOOGLETRANSLATE(B41, ""en"", ""tr"")"),"Zanaat baltaları")</f>
        <v>Zanaat baltaları</v>
      </c>
      <c r="G41" s="23" t="str">
        <f ca="1">IFERROR(__xludf.DUMMYFUNCTION("GOOGLETRANSLATE(B41, ""en"", ""pt"")"),"Machados artesanais.")</f>
        <v>Machados artesanais.</v>
      </c>
      <c r="H41" s="24" t="str">
        <f ca="1">IFERROR(__xludf.DUMMYFUNCTION("GOOGLETRANSLATE(B41, ""en"", ""de"")"),"Bastel-Hüter")</f>
        <v>Bastel-Hüter</v>
      </c>
      <c r="I41" s="23" t="str">
        <f ca="1">IFERROR(__xludf.DUMMYFUNCTION("GOOGLETRANSLATE(B41, ""en"", ""pl"")"),"Hatchets rzemieślniczy")</f>
        <v>Hatchets rzemieślniczy</v>
      </c>
      <c r="J41" s="25" t="str">
        <f ca="1">IFERROR(__xludf.DUMMYFUNCTION("GOOGLETRANSLATE(B41, ""en"", ""zh"")"),"工艺斧头")</f>
        <v>工艺斧头</v>
      </c>
      <c r="K41" s="25" t="str">
        <f ca="1">IFERROR(__xludf.DUMMYFUNCTION("GOOGLETRANSLATE(B41, ""en"", ""vi"")"),"Craft hatchets.")</f>
        <v>Craft hatchets.</v>
      </c>
      <c r="L41" s="26" t="str">
        <f ca="1">IFERROR(__xludf.DUMMYFUNCTION("GOOGLETRANSLATE(B41, ""en"", ""hr"")"),"Plovila")</f>
        <v>Plovila</v>
      </c>
      <c r="M41" s="28"/>
      <c r="N41" s="28"/>
      <c r="O41" s="28"/>
      <c r="P41" s="28"/>
      <c r="Q41" s="28"/>
      <c r="R41" s="28"/>
      <c r="S41" s="28"/>
      <c r="T41" s="28"/>
      <c r="U41" s="28"/>
      <c r="V41" s="28"/>
      <c r="W41" s="28"/>
      <c r="X41" s="28"/>
      <c r="Y41" s="28"/>
      <c r="Z41" s="28"/>
      <c r="AA41" s="28"/>
      <c r="AB41" s="28"/>
    </row>
    <row r="42" spans="1:28" ht="15.75" customHeight="1" x14ac:dyDescent="0.15">
      <c r="A42" s="21" t="s">
        <v>1120</v>
      </c>
      <c r="B42" s="22" t="s">
        <v>1121</v>
      </c>
      <c r="C42" s="23" t="str">
        <f ca="1">IFERROR(__xludf.DUMMYFUNCTION("GOOGLETRANSLATE(B42, ""en"", ""fr"")"),"Pickaxes artisanales")</f>
        <v>Pickaxes artisanales</v>
      </c>
      <c r="D42" s="23" t="str">
        <f ca="1">IFERROR(__xludf.DUMMYFUNCTION("GOOGLETRANSLATE(B42, ""en"", ""es"")"),"Picos de artesanía")</f>
        <v>Picos de artesanía</v>
      </c>
      <c r="E42" s="23" t="str">
        <f ca="1">IFERROR(__xludf.DUMMYFUNCTION("GOOGLETRANSLATE(B42, ""en"", ""ru"")"),"Ремесленные кирка")</f>
        <v>Ремесленные кирка</v>
      </c>
      <c r="F42" s="23" t="str">
        <f ca="1">IFERROR(__xludf.DUMMYFUNCTION("GOOGLETRANSLATE(B42, ""en"", ""tr"")"),"Zanaat kazakları")</f>
        <v>Zanaat kazakları</v>
      </c>
      <c r="G42" s="23" t="str">
        <f ca="1">IFERROR(__xludf.DUMMYFUNCTION("GOOGLETRANSLATE(B42, ""en"", ""pt"")"),"CRAFT PICKAXS.")</f>
        <v>CRAFT PICKAXS.</v>
      </c>
      <c r="H42" s="24" t="str">
        <f ca="1">IFERROR(__xludf.DUMMYFUNCTION("GOOGLETRANSLATE(B42, ""en"", ""de"")"),"Handwerkspaket")</f>
        <v>Handwerkspaket</v>
      </c>
      <c r="I42" s="23" t="str">
        <f ca="1">IFERROR(__xludf.DUMMYFUNCTION("GOOGLETRANSLATE(B42, ""en"", ""pl"")"),"Craft Picksaxes.")</f>
        <v>Craft Picksaxes.</v>
      </c>
      <c r="J42" s="25" t="str">
        <f ca="1">IFERROR(__xludf.DUMMYFUNCTION("GOOGLETRANSLATE(B42, ""en"", ""zh"")"),"工艺镐")</f>
        <v>工艺镐</v>
      </c>
      <c r="K42" s="25" t="str">
        <f ca="1">IFERROR(__xludf.DUMMYFUNCTION("GOOGLETRANSLATE(B42, ""en"", ""vi"")"),"CRAFT PICKAXES.")</f>
        <v>CRAFT PICKAXES.</v>
      </c>
      <c r="L42" s="26" t="str">
        <f ca="1">IFERROR(__xludf.DUMMYFUNCTION("GOOGLETRANSLATE(B42, ""en"", ""hr"")"),"Craft Pickees")</f>
        <v>Craft Pickees</v>
      </c>
      <c r="M42" s="28"/>
      <c r="N42" s="28"/>
      <c r="O42" s="28"/>
      <c r="P42" s="28"/>
      <c r="Q42" s="28"/>
      <c r="R42" s="28"/>
      <c r="S42" s="28"/>
      <c r="T42" s="28"/>
      <c r="U42" s="28"/>
      <c r="V42" s="28"/>
      <c r="W42" s="28"/>
      <c r="X42" s="28"/>
      <c r="Y42" s="28"/>
      <c r="Z42" s="28"/>
      <c r="AA42" s="28"/>
      <c r="AB42" s="28"/>
    </row>
    <row r="43" spans="1:28" ht="15.75" customHeight="1" x14ac:dyDescent="0.15">
      <c r="A43" s="21" t="s">
        <v>1122</v>
      </c>
      <c r="B43" s="22" t="s">
        <v>1123</v>
      </c>
      <c r="C43" s="23" t="str">
        <f ca="1">IFERROR(__xludf.DUMMYFUNCTION("GOOGLETRANSLATE(B43, ""en"", ""fr"")"),"Armure métallique artisanale")</f>
        <v>Armure métallique artisanale</v>
      </c>
      <c r="D43" s="23" t="str">
        <f ca="1">IFERROR(__xludf.DUMMYFUNCTION("GOOGLETRANSLATE(B43, ""en"", ""es"")"),"Armadura de metal artesanal")</f>
        <v>Armadura de metal artesanal</v>
      </c>
      <c r="E43" s="23" t="str">
        <f ca="1">IFERROR(__xludf.DUMMYFUNCTION("GOOGLETRANSLATE(B43, ""en"", ""ru"")"),"Ремесло металлическая доспеха")</f>
        <v>Ремесло металлическая доспеха</v>
      </c>
      <c r="F43" s="23" t="str">
        <f ca="1">IFERROR(__xludf.DUMMYFUNCTION("GOOGLETRANSLATE(B43, ""en"", ""tr"")"),"Zanaat metal zırhı")</f>
        <v>Zanaat metal zırhı</v>
      </c>
      <c r="G43" s="23" t="str">
        <f ca="1">IFERROR(__xludf.DUMMYFUNCTION("GOOGLETRANSLATE(B43, ""en"", ""pt"")"),"Armadura de metal artesanal")</f>
        <v>Armadura de metal artesanal</v>
      </c>
      <c r="H43" s="24" t="str">
        <f ca="1">IFERROR(__xludf.DUMMYFUNCTION("GOOGLETRANSLATE(B43, ""en"", ""de"")"),"Handwerk Metall Rüstung")</f>
        <v>Handwerk Metall Rüstung</v>
      </c>
      <c r="I43" s="23" t="str">
        <f ca="1">IFERROR(__xludf.DUMMYFUNCTION("GOOGLETRANSLATE(B43, ""en"", ""pl"")"),"Rzemiosła metalowa zbroja")</f>
        <v>Rzemiosła metalowa zbroja</v>
      </c>
      <c r="J43" s="25" t="str">
        <f ca="1">IFERROR(__xludf.DUMMYFUNCTION("GOOGLETRANSLATE(B43, ""en"", ""zh"")"),"工艺金属盔甲")</f>
        <v>工艺金属盔甲</v>
      </c>
      <c r="K43" s="25" t="str">
        <f ca="1">IFERROR(__xludf.DUMMYFUNCTION("GOOGLETRANSLATE(B43, ""en"", ""vi"")"),"Giáp kim loại thủ công")</f>
        <v>Giáp kim loại thủ công</v>
      </c>
      <c r="L43" s="26" t="str">
        <f ca="1">IFERROR(__xludf.DUMMYFUNCTION("GOOGLETRANSLATE(B43, ""en"", ""hr"")"),"Oklopna oklop")</f>
        <v>Oklopna oklop</v>
      </c>
      <c r="M43" s="28"/>
      <c r="N43" s="28"/>
      <c r="O43" s="28"/>
      <c r="P43" s="28"/>
      <c r="Q43" s="28"/>
      <c r="R43" s="28"/>
      <c r="S43" s="28"/>
      <c r="T43" s="28"/>
      <c r="U43" s="28"/>
      <c r="V43" s="28"/>
      <c r="W43" s="28"/>
      <c r="X43" s="28"/>
      <c r="Y43" s="28"/>
      <c r="Z43" s="28"/>
      <c r="AA43" s="28"/>
      <c r="AB43" s="28"/>
    </row>
    <row r="44" spans="1:28" ht="15.75" customHeight="1" x14ac:dyDescent="0.15">
      <c r="A44" s="21" t="s">
        <v>1124</v>
      </c>
      <c r="B44" s="22" t="s">
        <v>1125</v>
      </c>
      <c r="C44" s="23" t="str">
        <f ca="1">IFERROR(__xludf.DUMMYFUNCTION("GOOGLETRANSLATE(B44, ""en"", ""fr"")"),"Cafres de cafres")</f>
        <v>Cafres de cafres</v>
      </c>
      <c r="D44" s="23" t="str">
        <f ca="1">IFERROR(__xludf.DUMMYFUNCTION("GOOGLETRANSLATE(B44, ""en"", ""es"")"),"Capas de artesanía")</f>
        <v>Capas de artesanía</v>
      </c>
      <c r="E44" s="23" t="str">
        <f ca="1">IFERROR(__xludf.DUMMYFUNCTION("GOOGLETRANSLATE(B44, ""en"", ""ru"")"),"Craft Cloaks")</f>
        <v>Craft Cloaks</v>
      </c>
      <c r="F44" s="23" t="str">
        <f ca="1">IFERROR(__xludf.DUMMYFUNCTION("GOOGLETRANSLATE(B44, ""en"", ""tr"")"),"Zanaat pelerinleri")</f>
        <v>Zanaat pelerinleri</v>
      </c>
      <c r="G44" s="23" t="str">
        <f ca="1">IFERROR(__xludf.DUMMYFUNCTION("GOOGLETRANSLATE(B44, ""en"", ""pt"")"),"Cloaks de artesanato")</f>
        <v>Cloaks de artesanato</v>
      </c>
      <c r="H44" s="24" t="str">
        <f ca="1">IFERROR(__xludf.DUMMYFUNCTION("GOOGLETRANSLATE(B44, ""en"", ""de"")"),"Craft Cloaks.")</f>
        <v>Craft Cloaks.</v>
      </c>
      <c r="I44" s="23" t="str">
        <f ca="1">IFERROR(__xludf.DUMMYFUNCTION("GOOGLETRANSLATE(B44, ""en"", ""pl"")"),"Craft Cloaks.")</f>
        <v>Craft Cloaks.</v>
      </c>
      <c r="J44" s="25" t="str">
        <f ca="1">IFERROR(__xludf.DUMMYFUNCTION("GOOGLETRANSLATE(B44, ""en"", ""zh"")"),"工艺斗篷")</f>
        <v>工艺斗篷</v>
      </c>
      <c r="K44" s="25" t="str">
        <f ca="1">IFERROR(__xludf.DUMMYFUNCTION("GOOGLETRANSLATE(B44, ""en"", ""vi"")"),"Craft Cloaks.")</f>
        <v>Craft Cloaks.</v>
      </c>
      <c r="L44" s="26" t="str">
        <f ca="1">IFERROR(__xludf.DUMMYFUNCTION("GOOGLETRANSLATE(B44, ""en"", ""hr"")"),"Obrtni ogrtači")</f>
        <v>Obrtni ogrtači</v>
      </c>
      <c r="M44" s="28"/>
      <c r="N44" s="28"/>
      <c r="O44" s="28"/>
      <c r="P44" s="28"/>
      <c r="Q44" s="28"/>
      <c r="R44" s="28"/>
      <c r="S44" s="28"/>
      <c r="T44" s="28"/>
      <c r="U44" s="28"/>
      <c r="V44" s="28"/>
      <c r="W44" s="28"/>
      <c r="X44" s="28"/>
      <c r="Y44" s="28"/>
      <c r="Z44" s="28"/>
      <c r="AA44" s="28"/>
      <c r="AB44" s="28"/>
    </row>
    <row r="45" spans="1:28" ht="15.75" customHeight="1" x14ac:dyDescent="0.15">
      <c r="A45" s="21" t="s">
        <v>1126</v>
      </c>
      <c r="B45" s="22" t="s">
        <v>1127</v>
      </c>
      <c r="C45" s="23" t="str">
        <f ca="1">IFERROR(__xludf.DUMMYFUNCTION("GOOGLETRANSLATE(B45, ""en"", ""fr"")"),"Robes d'artisanat")</f>
        <v>Robes d'artisanat</v>
      </c>
      <c r="D45" s="23" t="str">
        <f ca="1">IFERROR(__xludf.DUMMYFUNCTION("GOOGLETRANSLATE(B45, ""en"", ""es"")"),"Túnicas de artesanía")</f>
        <v>Túnicas de artesanía</v>
      </c>
      <c r="E45" s="23" t="str">
        <f ca="1">IFERROR(__xludf.DUMMYFUNCTION("GOOGLETRANSLATE(B45, ""en"", ""ru"")"),"Ремесленные халаты")</f>
        <v>Ремесленные халаты</v>
      </c>
      <c r="F45" s="23" t="str">
        <f ca="1">IFERROR(__xludf.DUMMYFUNCTION("GOOGLETRANSLATE(B45, ""en"", ""tr"")"),"Zanaat bornozları")</f>
        <v>Zanaat bornozları</v>
      </c>
      <c r="G45" s="23" t="str">
        <f ca="1">IFERROR(__xludf.DUMMYFUNCTION("GOOGLETRANSLATE(B45, ""en"", ""pt"")"),"Vestes artesanais")</f>
        <v>Vestes artesanais</v>
      </c>
      <c r="H45" s="24" t="str">
        <f ca="1">IFERROR(__xludf.DUMMYFUNCTION("GOOGLETRANSLATE(B45, ""en"", ""de"")"),"Handwerkliche Roben")</f>
        <v>Handwerkliche Roben</v>
      </c>
      <c r="I45" s="23" t="str">
        <f ca="1">IFERROR(__xludf.DUMMYFUNCTION("GOOGLETRANSLATE(B45, ""en"", ""pl"")"),"Szaty rzemiosła.")</f>
        <v>Szaty rzemiosła.</v>
      </c>
      <c r="J45" s="25" t="str">
        <f ca="1">IFERROR(__xludf.DUMMYFUNCTION("GOOGLETRANSLATE(B45, ""en"", ""zh"")"),"工艺长袍")</f>
        <v>工艺长袍</v>
      </c>
      <c r="K45" s="25" t="str">
        <f ca="1">IFERROR(__xludf.DUMMYFUNCTION("GOOGLETRANSLATE(B45, ""en"", ""vi"")"),"Craft Robes.")</f>
        <v>Craft Robes.</v>
      </c>
      <c r="L45" s="26" t="str">
        <f ca="1">IFERROR(__xludf.DUMMYFUNCTION("GOOGLETRANSLATE(B45, ""en"", ""hr"")"),"Obrtne haljine")</f>
        <v>Obrtne haljine</v>
      </c>
      <c r="M45" s="28"/>
      <c r="N45" s="28"/>
      <c r="O45" s="28"/>
      <c r="P45" s="28"/>
      <c r="Q45" s="28"/>
      <c r="R45" s="28"/>
      <c r="S45" s="28"/>
      <c r="T45" s="28"/>
      <c r="U45" s="28"/>
      <c r="V45" s="28"/>
      <c r="W45" s="28"/>
      <c r="X45" s="28"/>
      <c r="Y45" s="28"/>
      <c r="Z45" s="28"/>
      <c r="AA45" s="28"/>
      <c r="AB45" s="28"/>
    </row>
    <row r="46" spans="1:28" ht="15.75" customHeight="1" x14ac:dyDescent="0.15">
      <c r="A46" s="21" t="s">
        <v>1128</v>
      </c>
      <c r="B46" s="22" t="s">
        <v>1129</v>
      </c>
      <c r="C46" s="23" t="str">
        <f ca="1">IFERROR(__xludf.DUMMYFUNCTION("GOOGLETRANSLATE(B46, ""en"", ""fr"")"),"Équipement de fer d'artisanat")</f>
        <v>Équipement de fer d'artisanat</v>
      </c>
      <c r="D46" s="23" t="str">
        <f ca="1">IFERROR(__xludf.DUMMYFUNCTION("GOOGLETRANSLATE(B46, ""en"", ""es"")"),"Equipo de hierro artesanal")</f>
        <v>Equipo de hierro artesanal</v>
      </c>
      <c r="E46" s="23" t="str">
        <f ca="1">IFERROR(__xludf.DUMMYFUNCTION("GOOGLETRANSLATE(B46, ""en"", ""ru"")"),"Ремесло железное снаряжение")</f>
        <v>Ремесло железное снаряжение</v>
      </c>
      <c r="F46" s="23" t="str">
        <f ca="1">IFERROR(__xludf.DUMMYFUNCTION("GOOGLETRANSLATE(B46, ""en"", ""tr"")"),"Zanaat demir dişli")</f>
        <v>Zanaat demir dişli</v>
      </c>
      <c r="G46" s="23" t="str">
        <f ca="1">IFERROR(__xludf.DUMMYFUNCTION("GOOGLETRANSLATE(B46, ""en"", ""pt"")"),"Engrenagem de ferro artesanal")</f>
        <v>Engrenagem de ferro artesanal</v>
      </c>
      <c r="H46" s="24" t="str">
        <f ca="1">IFERROR(__xludf.DUMMYFUNCTION("GOOGLETRANSLATE(B46, ""en"", ""de"")"),"Handwerkeisengetriebe")</f>
        <v>Handwerkeisengetriebe</v>
      </c>
      <c r="I46" s="23" t="str">
        <f ca="1">IFERROR(__xludf.DUMMYFUNCTION("GOOGLETRANSLATE(B46, ""en"", ""pl"")"),"Rzemiosło żelazne")</f>
        <v>Rzemiosło żelazne</v>
      </c>
      <c r="J46" s="25" t="str">
        <f ca="1">IFERROR(__xludf.DUMMYFUNCTION("GOOGLETRANSLATE(B46, ""en"", ""zh"")"),"工艺铁齿轮")</f>
        <v>工艺铁齿轮</v>
      </c>
      <c r="K46" s="25" t="str">
        <f ca="1">IFERROR(__xludf.DUMMYFUNCTION("GOOGLETRANSLATE(B46, ""en"", ""vi"")"),"Thiết bị sắt thủ công")</f>
        <v>Thiết bị sắt thủ công</v>
      </c>
      <c r="L46" s="26" t="str">
        <f ca="1">IFERROR(__xludf.DUMMYFUNCTION("GOOGLETRANSLATE(B46, ""en"", ""hr"")"),"Oprema za obrt")</f>
        <v>Oprema za obrt</v>
      </c>
      <c r="M46" s="28"/>
      <c r="N46" s="28"/>
      <c r="O46" s="28"/>
      <c r="P46" s="28"/>
      <c r="Q46" s="28"/>
      <c r="R46" s="28"/>
      <c r="S46" s="28"/>
      <c r="T46" s="28"/>
      <c r="U46" s="28"/>
      <c r="V46" s="28"/>
      <c r="W46" s="28"/>
      <c r="X46" s="28"/>
      <c r="Y46" s="28"/>
      <c r="Z46" s="28"/>
      <c r="AA46" s="28"/>
      <c r="AB46" s="28"/>
    </row>
    <row r="47" spans="1:28" ht="15.75" customHeight="1" x14ac:dyDescent="0.15">
      <c r="A47" s="21" t="s">
        <v>1130</v>
      </c>
      <c r="B47" s="22" t="s">
        <v>1131</v>
      </c>
      <c r="C47" s="23" t="str">
        <f ca="1">IFERROR(__xludf.DUMMYFUNCTION("GOOGLETRANSLATE(B47, ""en"", ""fr"")"),"Craft Dungium Gear")</f>
        <v>Craft Dungium Gear</v>
      </c>
      <c r="D47" s="23" t="str">
        <f ca="1">IFERROR(__xludf.DUMMYFUNCTION("GOOGLETRANSLATE(B47, ""en"", ""es"")"),"Artesanía engranaje de dungium")</f>
        <v>Artesanía engranaje de dungium</v>
      </c>
      <c r="E47" s="23" t="str">
        <f ca="1">IFERROR(__xludf.DUMMYFUNCTION("GOOGLETRANSLATE(B47, ""en"", ""ru"")"),"Ремесленничество Dungium Gear.")</f>
        <v>Ремесленничество Dungium Gear.</v>
      </c>
      <c r="F47" s="23" t="str">
        <f ca="1">IFERROR(__xludf.DUMMYFUNCTION("GOOGLETRANSLATE(B47, ""en"", ""tr"")"),"Zanaat dungium dişli")</f>
        <v>Zanaat dungium dişli</v>
      </c>
      <c r="G47" s="23" t="str">
        <f ca="1">IFERROR(__xludf.DUMMYFUNCTION("GOOGLETRANSLATE(B47, ""en"", ""pt"")"),"Engrenagem de Dungium de artesanato")</f>
        <v>Engrenagem de Dungium de artesanato</v>
      </c>
      <c r="H47" s="24" t="str">
        <f ca="1">IFERROR(__xludf.DUMMYFUNCTION("GOOGLETRANSLATE(B47, ""en"", ""de"")"),"Handwerk Dungium-Gang")</f>
        <v>Handwerk Dungium-Gang</v>
      </c>
      <c r="I47" s="23" t="str">
        <f ca="1">IFERROR(__xludf.DUMMYFUNCTION("GOOGLETRANSLATE(B47, ""en"", ""pl"")"),"Craft Dungium Gear.")</f>
        <v>Craft Dungium Gear.</v>
      </c>
      <c r="J47" s="25" t="str">
        <f ca="1">IFERROR(__xludf.DUMMYFUNCTION("GOOGLETRANSLATE(B47, ""en"", ""zh"")"),"工艺量舱装备")</f>
        <v>工艺量舱装备</v>
      </c>
      <c r="K47" s="25" t="str">
        <f ca="1">IFERROR(__xludf.DUMMYFUNCTION("GOOGLETRANSLATE(B47, ""en"", ""vi"")"),"Gear Dungium Craft.")</f>
        <v>Gear Dungium Craft.</v>
      </c>
      <c r="L47" s="26" t="str">
        <f ca="1">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spans="1:28" ht="15.75" customHeight="1" x14ac:dyDescent="0.15">
      <c r="A48" s="21" t="s">
        <v>1132</v>
      </c>
      <c r="B48" s="22" t="s">
        <v>1133</v>
      </c>
      <c r="C48" s="23" t="str">
        <f ca="1">IFERROR(__xludf.DUMMYFUNCTION("GOOGLETRANSLATE(B48, ""en"", ""fr"")"),"Craft Agonite Gear")</f>
        <v>Craft Agonite Gear</v>
      </c>
      <c r="D48" s="23" t="str">
        <f ca="1">IFERROR(__xludf.DUMMYFUNCTION("GOOGLETRANSLATE(B48, ""en"", ""es"")"),"Equipo de agonita artesanal")</f>
        <v>Equipo de agonita artesanal</v>
      </c>
      <c r="E48" s="23" t="str">
        <f ca="1">IFERROR(__xludf.DUMMYFUNCTION("GOOGLETRANSLATE(B48, ""en"", ""ru"")"),"Ремеслогонитное снаряжение")</f>
        <v>Ремеслогонитное снаряжение</v>
      </c>
      <c r="F48" s="23" t="str">
        <f ca="1">IFERROR(__xludf.DUMMYFUNCTION("GOOGLETRANSLATE(B48, ""en"", ""tr"")"),"Zanaat agonit dişli")</f>
        <v>Zanaat agonit dişli</v>
      </c>
      <c r="G48" s="23" t="str">
        <f ca="1">IFERROR(__xludf.DUMMYFUNCTION("GOOGLETRANSLATE(B48, ""en"", ""pt"")"),"Engrenagem de agonite artesanal")</f>
        <v>Engrenagem de agonite artesanal</v>
      </c>
      <c r="H48" s="24" t="str">
        <f ca="1">IFERROR(__xludf.DUMMYFUNCTION("GOOGLETRANSLATE(B48, ""en"", ""de"")"),"Craft-Agonite-Gang.")</f>
        <v>Craft-Agonite-Gang.</v>
      </c>
      <c r="I48" s="23" t="str">
        <f ca="1">IFERROR(__xludf.DUMMYFUNCTION("GOOGLETRANSLATE(B48, ""en"", ""pl"")"),"Craft Agonite Gear.")</f>
        <v>Craft Agonite Gear.</v>
      </c>
      <c r="J48" s="25" t="str">
        <f ca="1">IFERROR(__xludf.DUMMYFUNCTION("GOOGLETRANSLATE(B48, ""en"", ""zh"")"),"工艺艾奇石齿轮")</f>
        <v>工艺艾奇石齿轮</v>
      </c>
      <c r="K48" s="25" t="str">
        <f ca="1">IFERROR(__xludf.DUMMYFUNCTION("GOOGLETRANSLATE(B48, ""en"", ""vi"")"),"Craft Agonite Gear.")</f>
        <v>Craft Agonite Gear.</v>
      </c>
      <c r="L48" s="26" t="str">
        <f ca="1">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spans="1:28" ht="15.75" customHeight="1" x14ac:dyDescent="0.15">
      <c r="A49" s="21" t="s">
        <v>1134</v>
      </c>
      <c r="B49" s="22" t="s">
        <v>1135</v>
      </c>
      <c r="C49" s="23" t="str">
        <f ca="1">IFERROR(__xludf.DUMMYFUNCTION("GOOGLETRANSLATE(B49, ""en"", ""fr"")"),"CRAFT NOCTIS GEAR")</f>
        <v>CRAFT NOCTIS GEAR</v>
      </c>
      <c r="D49" s="23" t="str">
        <f ca="1">IFERROR(__xludf.DUMMYFUNCTION("GOOGLETRANSLATE(B49, ""en"", ""es"")"),"Equipo de noctura artesanal")</f>
        <v>Equipo de noctura artesanal</v>
      </c>
      <c r="E49" s="23" t="str">
        <f ca="1">IFERROR(__xludf.DUMMYFUNCTION("GOOGLETRANSLATE(B49, ""en"", ""ru"")"),"Craft Noctis Gear.")</f>
        <v>Craft Noctis Gear.</v>
      </c>
      <c r="F49" s="23" t="str">
        <f ca="1">IFERROR(__xludf.DUMMYFUNCTION("GOOGLETRANSLATE(B49, ""en"", ""tr"")"),"Zanaat noctis dişli")</f>
        <v>Zanaat noctis dişli</v>
      </c>
      <c r="G49" s="23" t="str">
        <f ca="1">IFERROR(__xludf.DUMMYFUNCTION("GOOGLETRANSLATE(B49, ""en"", ""pt"")"),"Engrenagem de noctis de artesanato")</f>
        <v>Engrenagem de noctis de artesanato</v>
      </c>
      <c r="H49" s="24" t="str">
        <f ca="1">IFERROR(__xludf.DUMMYFUNCTION("GOOGLETRANSLATE(B49, ""en"", ""de"")"),"Craft Noctis-Gang.")</f>
        <v>Craft Noctis-Gang.</v>
      </c>
      <c r="I49" s="23" t="str">
        <f ca="1">IFERROR(__xludf.DUMMYFUNCTION("GOOGLETRANSLATE(B49, ""en"", ""pl"")"),"Craft Noctis Gear.")</f>
        <v>Craft Noctis Gear.</v>
      </c>
      <c r="J49" s="25" t="str">
        <f ca="1">IFERROR(__xludf.DUMMYFUNCTION("GOOGLETRANSLATE(B49, ""en"", ""zh"")"),"工艺夜胶装备")</f>
        <v>工艺夜胶装备</v>
      </c>
      <c r="K49" s="25" t="str">
        <f ca="1">IFERROR(__xludf.DUMMYFUNCTION("GOOGLETRANSLATE(B49, ""en"", ""vi"")"),"Craft Noctis Gear.")</f>
        <v>Craft Noctis Gear.</v>
      </c>
      <c r="L49" s="26" t="str">
        <f ca="1">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spans="1:28" ht="28" x14ac:dyDescent="0.15">
      <c r="A50" s="21" t="s">
        <v>1136</v>
      </c>
      <c r="B50" s="22" t="s">
        <v>1137</v>
      </c>
      <c r="C50" s="23" t="str">
        <f ca="1">IFERROR(__xludf.DUMMYFUNCTION("GOOGLETRANSLATE(B50, ""en"", ""fr"")"),"Équipement de tissu artisanal")</f>
        <v>Équipement de tissu artisanal</v>
      </c>
      <c r="D50" s="23" t="str">
        <f ca="1">IFERROR(__xludf.DUMMYFUNCTION("GOOGLETRANSLATE(B50, ""en"", ""es"")"),"Equipo de tela artesanal")</f>
        <v>Equipo de tela artesanal</v>
      </c>
      <c r="E50" s="23" t="str">
        <f ca="1">IFERROR(__xludf.DUMMYFUNCTION("GOOGLETRANSLATE(B50, ""en"", ""ru"")"),"Ремесло тканевая шестерня")</f>
        <v>Ремесло тканевая шестерня</v>
      </c>
      <c r="F50" s="23" t="str">
        <f ca="1">IFERROR(__xludf.DUMMYFUNCTION("GOOGLETRANSLATE(B50, ""en"", ""tr"")"),"Zanaat kumaş dişli")</f>
        <v>Zanaat kumaş dişli</v>
      </c>
      <c r="G50" s="23" t="str">
        <f ca="1">IFERROR(__xludf.DUMMYFUNCTION("GOOGLETRANSLATE(B50, ""en"", ""pt"")"),"Engrenagem de tecido de artesanato")</f>
        <v>Engrenagem de tecido de artesanato</v>
      </c>
      <c r="H50" s="24" t="str">
        <f ca="1">IFERROR(__xludf.DUMMYFUNCTION("GOOGLETRANSLATE(B50, ""en"", ""de"")"),"Kunsthandwerkzeuggetriebe.")</f>
        <v>Kunsthandwerkzeuggetriebe.</v>
      </c>
      <c r="I50" s="23" t="str">
        <f ca="1">IFERROR(__xludf.DUMMYFUNCTION("GOOGLETRANSLATE(B50, ""en"", ""pl"")"),"Przekładnia tkaniny rzemieślniczej")</f>
        <v>Przekładnia tkaniny rzemieślniczej</v>
      </c>
      <c r="J50" s="25" t="str">
        <f ca="1">IFERROR(__xludf.DUMMYFUNCTION("GOOGLETRANSLATE(B50, ""en"", ""zh"")"),"工艺织物装备")</f>
        <v>工艺织物装备</v>
      </c>
      <c r="K50" s="25" t="str">
        <f ca="1">IFERROR(__xludf.DUMMYFUNCTION("GOOGLETRANSLATE(B50, ""en"", ""vi"")"),"Bánh răng vải thủ công")</f>
        <v>Bánh răng vải thủ công</v>
      </c>
      <c r="L50" s="26" t="str">
        <f ca="1">IFERROR(__xludf.DUMMYFUNCTION("GOOGLETRANSLATE(B50, ""en"", ""hr"")"),"Oprema za obrt")</f>
        <v>Oprema za obrt</v>
      </c>
      <c r="M50" s="28"/>
      <c r="N50" s="28"/>
      <c r="O50" s="28"/>
      <c r="P50" s="28"/>
      <c r="Q50" s="28"/>
      <c r="R50" s="28"/>
      <c r="S50" s="28"/>
      <c r="T50" s="28"/>
      <c r="U50" s="28"/>
      <c r="V50" s="28"/>
      <c r="W50" s="28"/>
      <c r="X50" s="28"/>
      <c r="Y50" s="28"/>
      <c r="Z50" s="28"/>
      <c r="AA50" s="28"/>
      <c r="AB50" s="28"/>
    </row>
    <row r="51" spans="1:28" ht="14" x14ac:dyDescent="0.15">
      <c r="A51" s="21" t="s">
        <v>1138</v>
      </c>
      <c r="B51" s="22" t="s">
        <v>1139</v>
      </c>
      <c r="C51" s="23" t="str">
        <f ca="1">IFERROR(__xludf.DUMMYFUNCTION("GOOGLETRANSLATE(B51, ""en"", ""fr"")"),"Potions d'artisanat")</f>
        <v>Potions d'artisanat</v>
      </c>
      <c r="D51" s="23" t="str">
        <f ca="1">IFERROR(__xludf.DUMMYFUNCTION("GOOGLETRANSLATE(B51, ""en"", ""es"")"),"Pociones artesanales")</f>
        <v>Pociones artesanales</v>
      </c>
      <c r="E51" s="23" t="str">
        <f ca="1">IFERROR(__xludf.DUMMYFUNCTION("GOOGLETRANSLATE(B51, ""en"", ""ru"")"),"Ремесленные зелья")</f>
        <v>Ремесленные зелья</v>
      </c>
      <c r="F51" s="23" t="str">
        <f ca="1">IFERROR(__xludf.DUMMYFUNCTION("GOOGLETRANSLATE(B51, ""en"", ""tr"")"),"Zanaat iksirleri")</f>
        <v>Zanaat iksirleri</v>
      </c>
      <c r="G51" s="23" t="str">
        <f ca="1">IFERROR(__xludf.DUMMYFUNCTION("GOOGLETRANSLATE(B51, ""en"", ""pt"")"),"Poções de artesanato")</f>
        <v>Poções de artesanato</v>
      </c>
      <c r="H51" s="24" t="str">
        <f ca="1">IFERROR(__xludf.DUMMYFUNCTION("GOOGLETRANSLATE(B51, ""en"", ""de"")"),"Handkrafttränke")</f>
        <v>Handkrafttränke</v>
      </c>
      <c r="I51" s="23" t="str">
        <f ca="1">IFERROR(__xludf.DUMMYFUNCTION("GOOGLETRANSLATE(B51, ""en"", ""pl"")"),"Eliksir rzemieślniczy")</f>
        <v>Eliksir rzemieślniczy</v>
      </c>
      <c r="J51" s="25" t="str">
        <f ca="1">IFERROR(__xludf.DUMMYFUNCTION("GOOGLETRANSLATE(B51, ""en"", ""zh"")"),"工艺药水")</f>
        <v>工艺药水</v>
      </c>
      <c r="K51" s="25" t="str">
        <f ca="1">IFERROR(__xludf.DUMMYFUNCTION("GOOGLETRANSLATE(B51, ""en"", ""vi"")"),"Độc dược thủ công")</f>
        <v>Độc dược thủ công</v>
      </c>
      <c r="L51" s="26" t="str">
        <f ca="1">IFERROR(__xludf.DUMMYFUNCTION("GOOGLETRANSLATE(B51, ""en"", ""hr"")"),"Obrtnici")</f>
        <v>Obrtnici</v>
      </c>
      <c r="M51" s="28"/>
      <c r="N51" s="28"/>
      <c r="O51" s="28"/>
      <c r="P51" s="28"/>
      <c r="Q51" s="28"/>
      <c r="R51" s="28"/>
      <c r="S51" s="28"/>
      <c r="T51" s="28"/>
      <c r="U51" s="28"/>
      <c r="V51" s="28"/>
      <c r="W51" s="28"/>
      <c r="X51" s="28"/>
      <c r="Y51" s="28"/>
      <c r="Z51" s="28"/>
      <c r="AA51" s="28"/>
      <c r="AB51" s="28"/>
    </row>
    <row r="52" spans="1:28" ht="13" x14ac:dyDescent="0.15">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spans="1:28" ht="13" x14ac:dyDescent="0.15">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spans="1:28" ht="13" x14ac:dyDescent="0.15">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spans="1:28" ht="13" x14ac:dyDescent="0.1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spans="1:28" ht="13" x14ac:dyDescent="0.15">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spans="1:28" ht="13" x14ac:dyDescent="0.15">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spans="1:28" ht="13" x14ac:dyDescent="0.15">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spans="1:28" ht="13" x14ac:dyDescent="0.15">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spans="1:28" ht="13" x14ac:dyDescent="0.15">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spans="1:28" ht="13" x14ac:dyDescent="0.15">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spans="1:28" ht="13" x14ac:dyDescent="0.15">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spans="1:28" ht="13" x14ac:dyDescent="0.15">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spans="1:28" ht="13" x14ac:dyDescent="0.15">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spans="1:28" ht="13" x14ac:dyDescent="0.1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spans="1:28" ht="13" x14ac:dyDescent="0.15">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spans="1:28" ht="13" x14ac:dyDescent="0.15">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spans="1:28" ht="13" x14ac:dyDescent="0.15">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spans="1:28" ht="13" x14ac:dyDescent="0.15">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spans="1:28" ht="13" x14ac:dyDescent="0.15">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spans="1:28" ht="13" x14ac:dyDescent="0.15">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spans="1:28" ht="13" x14ac:dyDescent="0.15">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spans="1:28" ht="13" x14ac:dyDescent="0.15">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spans="1:28" ht="13" x14ac:dyDescent="0.15">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spans="1:28" ht="13" x14ac:dyDescent="0.1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spans="1:28" ht="13" x14ac:dyDescent="0.15">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spans="1:28" ht="13" x14ac:dyDescent="0.15">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spans="1:28" ht="13" x14ac:dyDescent="0.15">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spans="1:28" ht="13" x14ac:dyDescent="0.15">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spans="1:28" ht="13" x14ac:dyDescent="0.15">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spans="1:28" ht="13" x14ac:dyDescent="0.15">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spans="1:28" ht="13" x14ac:dyDescent="0.15">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spans="1:28" ht="13" x14ac:dyDescent="0.15">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spans="1:28" ht="13" x14ac:dyDescent="0.15">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spans="1:28" ht="13" x14ac:dyDescent="0.1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spans="1:28" ht="13" x14ac:dyDescent="0.15">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spans="1:28" ht="13" x14ac:dyDescent="0.15">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spans="1:28" ht="13" x14ac:dyDescent="0.15">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spans="1:28" ht="13" x14ac:dyDescent="0.15">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spans="1:28" ht="13" x14ac:dyDescent="0.15">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spans="1:28" ht="13" x14ac:dyDescent="0.15">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spans="1:28" ht="13" x14ac:dyDescent="0.15">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spans="1:28" ht="13" x14ac:dyDescent="0.15">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spans="1:28" ht="13" x14ac:dyDescent="0.15">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spans="1:28" ht="13" x14ac:dyDescent="0.1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spans="1:28" ht="13" x14ac:dyDescent="0.15">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spans="1:28" ht="13" x14ac:dyDescent="0.15">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spans="1:28" ht="13" x14ac:dyDescent="0.15">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spans="1:28" ht="13" x14ac:dyDescent="0.15">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spans="1:28" ht="13" x14ac:dyDescent="0.15">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spans="1:28" ht="13" x14ac:dyDescent="0.15">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spans="1:28" ht="13" x14ac:dyDescent="0.15">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spans="1:28" ht="13" x14ac:dyDescent="0.15">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spans="1:28" ht="13" x14ac:dyDescent="0.15">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spans="1:28" ht="13" x14ac:dyDescent="0.1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spans="1:28" ht="13" x14ac:dyDescent="0.15">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spans="1:28" ht="13" x14ac:dyDescent="0.15">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spans="1:28" ht="13" x14ac:dyDescent="0.15">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spans="1:28" ht="13" x14ac:dyDescent="0.15">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spans="1:28" ht="13" x14ac:dyDescent="0.15">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spans="1:28" ht="13" x14ac:dyDescent="0.15">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spans="1:28" ht="13" x14ac:dyDescent="0.15">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spans="1:28" ht="13" x14ac:dyDescent="0.15">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spans="1:28" ht="13" x14ac:dyDescent="0.15">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spans="1:28" ht="13" x14ac:dyDescent="0.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spans="1:28" ht="13" x14ac:dyDescent="0.15">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spans="1:28" ht="13" x14ac:dyDescent="0.15">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spans="1:28" ht="13" x14ac:dyDescent="0.15">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spans="1:28" ht="13" x14ac:dyDescent="0.15">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spans="1:28" ht="13" x14ac:dyDescent="0.15">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spans="1:28" ht="13" x14ac:dyDescent="0.15">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spans="1:28" ht="13" x14ac:dyDescent="0.15">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spans="1:28" ht="13" x14ac:dyDescent="0.15">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spans="1:28" ht="13" x14ac:dyDescent="0.15">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spans="1:28" ht="13" x14ac:dyDescent="0.1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spans="1:28" ht="13" x14ac:dyDescent="0.15">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spans="1:28" ht="13" x14ac:dyDescent="0.15">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spans="1:28" ht="13" x14ac:dyDescent="0.15">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spans="1:28" ht="13" x14ac:dyDescent="0.15">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spans="1:28" ht="13" x14ac:dyDescent="0.15">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spans="1:28" ht="13" x14ac:dyDescent="0.15">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spans="1:28" ht="13" x14ac:dyDescent="0.15">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spans="1:28" ht="13" x14ac:dyDescent="0.15">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spans="1:28" ht="13" x14ac:dyDescent="0.15">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spans="1:28" ht="13" x14ac:dyDescent="0.1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spans="1:28" ht="13" x14ac:dyDescent="0.15">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spans="1:28" ht="13" x14ac:dyDescent="0.15">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spans="1:28" ht="13" x14ac:dyDescent="0.15">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spans="1:28" ht="13" x14ac:dyDescent="0.15">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spans="1:28" ht="13" x14ac:dyDescent="0.15">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spans="1:28" ht="13" x14ac:dyDescent="0.15">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spans="1:28" ht="13" x14ac:dyDescent="0.15">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spans="1:28" ht="13" x14ac:dyDescent="0.15">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spans="1:28" ht="13" x14ac:dyDescent="0.15">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spans="1:28" ht="13" x14ac:dyDescent="0.1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spans="1:28" ht="13" x14ac:dyDescent="0.15">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spans="1:28" ht="13" x14ac:dyDescent="0.15">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spans="1:28" ht="13" x14ac:dyDescent="0.15">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spans="1:28" ht="13" x14ac:dyDescent="0.15">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spans="1:28" ht="13" x14ac:dyDescent="0.15">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spans="1:28" ht="13" x14ac:dyDescent="0.15">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spans="1:28" ht="13" x14ac:dyDescent="0.15">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spans="1:28" ht="13" x14ac:dyDescent="0.15">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spans="1:28" ht="13" x14ac:dyDescent="0.15">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spans="1:28" ht="13" x14ac:dyDescent="0.1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spans="1:28" ht="13" x14ac:dyDescent="0.15">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spans="1:28" ht="13" x14ac:dyDescent="0.15">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spans="1:28" ht="13" x14ac:dyDescent="0.15">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spans="1:28" ht="13" x14ac:dyDescent="0.15">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spans="1:28" ht="13" x14ac:dyDescent="0.15">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spans="1:28" ht="13" x14ac:dyDescent="0.15">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spans="1:28" ht="13" x14ac:dyDescent="0.15">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spans="1:28" ht="13" x14ac:dyDescent="0.15">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spans="1:28" ht="13" x14ac:dyDescent="0.15">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spans="1:28" ht="13" x14ac:dyDescent="0.1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spans="1:28" ht="13" x14ac:dyDescent="0.15">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spans="1:28" ht="13" x14ac:dyDescent="0.15">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spans="1:28" ht="13" x14ac:dyDescent="0.15">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spans="1:28" ht="13" x14ac:dyDescent="0.15">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spans="1:28" ht="13" x14ac:dyDescent="0.15">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spans="1:28" ht="13" x14ac:dyDescent="0.15">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spans="1:28" ht="13" x14ac:dyDescent="0.15">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spans="1:28" ht="13" x14ac:dyDescent="0.15">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spans="1:28" ht="13" x14ac:dyDescent="0.15">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spans="1:28" ht="13" x14ac:dyDescent="0.1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spans="1:28" ht="13" x14ac:dyDescent="0.15">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spans="1:28" ht="13" x14ac:dyDescent="0.15">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spans="1:28" ht="13" x14ac:dyDescent="0.15">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spans="1:28" ht="13" x14ac:dyDescent="0.15">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spans="1:28" ht="13" x14ac:dyDescent="0.15">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spans="1:28" ht="13" x14ac:dyDescent="0.15">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spans="1:28" ht="13" x14ac:dyDescent="0.15">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spans="1:28" ht="13" x14ac:dyDescent="0.15">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spans="1:28" ht="13" x14ac:dyDescent="0.15">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spans="1:28" ht="13" x14ac:dyDescent="0.1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spans="1:28" ht="13" x14ac:dyDescent="0.15">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spans="1:28" ht="13" x14ac:dyDescent="0.15">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spans="1:28" ht="13" x14ac:dyDescent="0.15">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spans="1:28" ht="13" x14ac:dyDescent="0.15">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spans="1:28" ht="13" x14ac:dyDescent="0.15">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spans="1:28" ht="13" x14ac:dyDescent="0.15">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spans="1:28" ht="13" x14ac:dyDescent="0.15">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spans="1:28" ht="13" x14ac:dyDescent="0.15">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spans="1:28" ht="13" x14ac:dyDescent="0.15">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spans="1:28" ht="13" x14ac:dyDescent="0.1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spans="1:28" ht="13" x14ac:dyDescent="0.15">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spans="1:28" ht="13" x14ac:dyDescent="0.15">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spans="1:28" ht="13" x14ac:dyDescent="0.15">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spans="1:28" ht="13" x14ac:dyDescent="0.15">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spans="1:28" ht="13" x14ac:dyDescent="0.15">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spans="1:28" ht="13" x14ac:dyDescent="0.15">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spans="1:28" ht="13" x14ac:dyDescent="0.15">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spans="1:28" ht="13" x14ac:dyDescent="0.15">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spans="1:28" ht="13" x14ac:dyDescent="0.15">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spans="1:28" ht="13" x14ac:dyDescent="0.1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spans="1:28" ht="13" x14ac:dyDescent="0.15">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spans="1:28" ht="13" x14ac:dyDescent="0.15">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spans="1:28" ht="13" x14ac:dyDescent="0.15">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spans="1:28" ht="13" x14ac:dyDescent="0.15">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spans="1:28" ht="13" x14ac:dyDescent="0.15">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spans="1:28" ht="13" x14ac:dyDescent="0.15">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spans="1:28" ht="13" x14ac:dyDescent="0.15">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spans="1:28" ht="13" x14ac:dyDescent="0.15">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spans="1:28" ht="13" x14ac:dyDescent="0.15">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spans="1:28" ht="13" x14ac:dyDescent="0.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spans="1:28" ht="13" x14ac:dyDescent="0.15">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spans="1:28" ht="13" x14ac:dyDescent="0.15">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spans="1:28" ht="13" x14ac:dyDescent="0.15">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spans="1:28" ht="13" x14ac:dyDescent="0.15">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spans="1:28" ht="13" x14ac:dyDescent="0.15">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spans="1:28" ht="13" x14ac:dyDescent="0.15">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spans="1:28" ht="13" x14ac:dyDescent="0.15">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spans="1:28" ht="13" x14ac:dyDescent="0.15">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spans="1:28" ht="13" x14ac:dyDescent="0.15">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spans="1:28" ht="13" x14ac:dyDescent="0.1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spans="1:28" ht="13" x14ac:dyDescent="0.15">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spans="1:28" ht="13" x14ac:dyDescent="0.15">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spans="1:28" ht="13" x14ac:dyDescent="0.15">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spans="1:28" ht="13" x14ac:dyDescent="0.15">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spans="1:28" ht="13" x14ac:dyDescent="0.15">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spans="1:28" ht="13" x14ac:dyDescent="0.15">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spans="1:28" ht="13" x14ac:dyDescent="0.15">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spans="1:28" ht="13" x14ac:dyDescent="0.15">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spans="1:28" ht="13" x14ac:dyDescent="0.15">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spans="1:28" ht="13" x14ac:dyDescent="0.1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spans="1:28" ht="13" x14ac:dyDescent="0.15">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spans="1:28" ht="13" x14ac:dyDescent="0.15">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spans="1:28" ht="13" x14ac:dyDescent="0.15">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spans="1:28" ht="13" x14ac:dyDescent="0.15">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spans="1:28" ht="13" x14ac:dyDescent="0.15">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spans="1:28" ht="13" x14ac:dyDescent="0.15">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spans="1:28" ht="13" x14ac:dyDescent="0.15">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spans="1:28" ht="13" x14ac:dyDescent="0.15">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spans="1:28" ht="13" x14ac:dyDescent="0.15">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spans="1:28" ht="13" x14ac:dyDescent="0.1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spans="1:28" ht="13" x14ac:dyDescent="0.15">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spans="1:28" ht="13" x14ac:dyDescent="0.15">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spans="1:28" ht="13" x14ac:dyDescent="0.15">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spans="1:28" ht="13" x14ac:dyDescent="0.15">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spans="1:28" ht="13" x14ac:dyDescent="0.15">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spans="1:28" ht="13" x14ac:dyDescent="0.15">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spans="1:28" ht="13" x14ac:dyDescent="0.15">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spans="1:28" ht="13" x14ac:dyDescent="0.15">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spans="1:28" ht="13" x14ac:dyDescent="0.15">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spans="1:28" ht="13" x14ac:dyDescent="0.1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spans="1:28" ht="13" x14ac:dyDescent="0.15">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spans="1:28" ht="13" x14ac:dyDescent="0.15">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spans="1:28" ht="13" x14ac:dyDescent="0.15">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spans="1:28" ht="13" x14ac:dyDescent="0.15">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spans="1:28" ht="13" x14ac:dyDescent="0.15">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spans="1:28" ht="13" x14ac:dyDescent="0.15">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spans="1:28" ht="13" x14ac:dyDescent="0.15">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spans="1:28" ht="13" x14ac:dyDescent="0.15">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spans="1:28" ht="13" x14ac:dyDescent="0.15">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spans="1:28" ht="13" x14ac:dyDescent="0.1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spans="1:28" ht="13" x14ac:dyDescent="0.15">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spans="1:28" ht="13" x14ac:dyDescent="0.15">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spans="1:28" ht="13" x14ac:dyDescent="0.15">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spans="1:28" ht="13" x14ac:dyDescent="0.15">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spans="1:28" ht="13" x14ac:dyDescent="0.15">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spans="1:28" ht="13" x14ac:dyDescent="0.15">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spans="1:28" ht="13" x14ac:dyDescent="0.15">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spans="1:28" ht="13" x14ac:dyDescent="0.15">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spans="1:28" ht="13" x14ac:dyDescent="0.15">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spans="1:28" ht="13" x14ac:dyDescent="0.1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spans="1:28" ht="13" x14ac:dyDescent="0.15">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spans="1:28" ht="13" x14ac:dyDescent="0.15">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spans="1:28" ht="13" x14ac:dyDescent="0.15">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spans="1:28" ht="13" x14ac:dyDescent="0.15">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spans="1:28" ht="13" x14ac:dyDescent="0.15">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spans="1:28" ht="13" x14ac:dyDescent="0.15">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spans="1:28" ht="13" x14ac:dyDescent="0.15">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spans="1:28" ht="13" x14ac:dyDescent="0.15">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spans="1:28" ht="13" x14ac:dyDescent="0.15">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spans="1:28" ht="13" x14ac:dyDescent="0.1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spans="1:28" ht="13" x14ac:dyDescent="0.15">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spans="1:28" ht="13" x14ac:dyDescent="0.15">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spans="1:28" ht="13" x14ac:dyDescent="0.15">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spans="1:28" ht="13" x14ac:dyDescent="0.15">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spans="1:28" ht="13" x14ac:dyDescent="0.15">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spans="1:28" ht="13" x14ac:dyDescent="0.15">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spans="1:28" ht="13" x14ac:dyDescent="0.15">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spans="1:28" ht="13" x14ac:dyDescent="0.15">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spans="1:28" ht="13" x14ac:dyDescent="0.15">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spans="1:28" ht="13" x14ac:dyDescent="0.1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spans="1:28" ht="13" x14ac:dyDescent="0.15">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spans="1:28" ht="13" x14ac:dyDescent="0.15">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spans="1:28" ht="13" x14ac:dyDescent="0.15">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spans="1:28" ht="13" x14ac:dyDescent="0.15">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spans="1:28" ht="13" x14ac:dyDescent="0.15">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spans="1:28" ht="13" x14ac:dyDescent="0.15">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spans="1:28" ht="13" x14ac:dyDescent="0.15">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spans="1:28" ht="13" x14ac:dyDescent="0.15">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spans="1:28" ht="13" x14ac:dyDescent="0.15">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spans="1:28" ht="13" x14ac:dyDescent="0.1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spans="1:28" ht="13" x14ac:dyDescent="0.15">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spans="1:28" ht="13" x14ac:dyDescent="0.15">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spans="1:28" ht="13" x14ac:dyDescent="0.15">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spans="1:28" ht="13" x14ac:dyDescent="0.15">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spans="1:28" ht="13" x14ac:dyDescent="0.15">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spans="1:28" ht="13" x14ac:dyDescent="0.15">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spans="1:28" ht="13" x14ac:dyDescent="0.15">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spans="1:28" ht="13" x14ac:dyDescent="0.15">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spans="1:28" ht="13" x14ac:dyDescent="0.15">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spans="1:28" ht="13" x14ac:dyDescent="0.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spans="1:28" ht="13" x14ac:dyDescent="0.15">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spans="1:28" ht="13" x14ac:dyDescent="0.15">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spans="1:28" ht="13" x14ac:dyDescent="0.15">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spans="1:28" ht="13" x14ac:dyDescent="0.15">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spans="1:28" ht="13" x14ac:dyDescent="0.15">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spans="1:28" ht="13" x14ac:dyDescent="0.15">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spans="1:28" ht="13" x14ac:dyDescent="0.15">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spans="1:28" ht="13" x14ac:dyDescent="0.15">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spans="1:28" ht="13" x14ac:dyDescent="0.15">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spans="1:28" ht="13" x14ac:dyDescent="0.1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spans="1:28" ht="13" x14ac:dyDescent="0.15">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spans="1:28" ht="13" x14ac:dyDescent="0.15">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spans="1:28" ht="13" x14ac:dyDescent="0.15">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spans="1:28" ht="13" x14ac:dyDescent="0.15">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spans="1:28" ht="13" x14ac:dyDescent="0.15">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spans="1:28" ht="13" x14ac:dyDescent="0.15">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spans="1:28" ht="13" x14ac:dyDescent="0.15">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spans="1:28" ht="13" x14ac:dyDescent="0.15">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spans="1:28" ht="13" x14ac:dyDescent="0.15">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spans="1:28" ht="13" x14ac:dyDescent="0.1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spans="1:28" ht="13" x14ac:dyDescent="0.15">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spans="1:28" ht="13" x14ac:dyDescent="0.15">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spans="1:28" ht="13" x14ac:dyDescent="0.15">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spans="1:28" ht="13" x14ac:dyDescent="0.15">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spans="1:28" ht="13" x14ac:dyDescent="0.15">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spans="1:28" ht="13" x14ac:dyDescent="0.15">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spans="1:28" ht="13" x14ac:dyDescent="0.15">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spans="1:28" ht="13" x14ac:dyDescent="0.15">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spans="1:28" ht="13" x14ac:dyDescent="0.15">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spans="1:28" ht="13" x14ac:dyDescent="0.1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spans="1:28" ht="13" x14ac:dyDescent="0.15">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spans="1:28" ht="13" x14ac:dyDescent="0.15">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spans="1:28" ht="13" x14ac:dyDescent="0.15">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spans="1:28" ht="13" x14ac:dyDescent="0.15">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spans="1:28" ht="13" x14ac:dyDescent="0.15">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spans="1:28" ht="13" x14ac:dyDescent="0.15">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spans="1:28" ht="13" x14ac:dyDescent="0.15">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spans="1:28" ht="13" x14ac:dyDescent="0.15">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spans="1:28" ht="13" x14ac:dyDescent="0.15">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spans="1:28" ht="13" x14ac:dyDescent="0.1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spans="1:28" ht="13" x14ac:dyDescent="0.15">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spans="1:28" ht="13" x14ac:dyDescent="0.15">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spans="1:28" ht="13" x14ac:dyDescent="0.15">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spans="1:28" ht="13" x14ac:dyDescent="0.15">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spans="1:28" ht="13" x14ac:dyDescent="0.15">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spans="1:28" ht="13" x14ac:dyDescent="0.15">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spans="1:28" ht="13" x14ac:dyDescent="0.15">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spans="1:28" ht="13" x14ac:dyDescent="0.15">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spans="1:28" ht="13" x14ac:dyDescent="0.15">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spans="1:28" ht="13" x14ac:dyDescent="0.1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spans="1:28" ht="13" x14ac:dyDescent="0.15">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spans="1:28" ht="13" x14ac:dyDescent="0.15">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spans="1:28" ht="13" x14ac:dyDescent="0.15">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spans="1:28" ht="13" x14ac:dyDescent="0.15">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spans="1:28" ht="13" x14ac:dyDescent="0.15">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spans="1:28" ht="13" x14ac:dyDescent="0.15">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spans="1:28" ht="13" x14ac:dyDescent="0.15">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spans="1:28" ht="13" x14ac:dyDescent="0.15">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spans="1:28" ht="13" x14ac:dyDescent="0.15">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spans="1:28" ht="13" x14ac:dyDescent="0.1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spans="1:28" ht="13" x14ac:dyDescent="0.15">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spans="1:28" ht="13" x14ac:dyDescent="0.15">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spans="1:28" ht="13" x14ac:dyDescent="0.15">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spans="1:28" ht="13" x14ac:dyDescent="0.15">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spans="1:28" ht="13" x14ac:dyDescent="0.15">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spans="1:28" ht="13" x14ac:dyDescent="0.15">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spans="1:28" ht="13" x14ac:dyDescent="0.15">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spans="1:28" ht="13" x14ac:dyDescent="0.15">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spans="1:28" ht="13" x14ac:dyDescent="0.15">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spans="1:28" ht="13" x14ac:dyDescent="0.1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spans="1:28" ht="13" x14ac:dyDescent="0.15">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spans="1:28" ht="13" x14ac:dyDescent="0.15">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spans="1:28" ht="13" x14ac:dyDescent="0.15">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spans="1:28" ht="13" x14ac:dyDescent="0.15">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spans="1:28" ht="13" x14ac:dyDescent="0.15">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spans="1:28" ht="13" x14ac:dyDescent="0.15">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spans="1:28" ht="13" x14ac:dyDescent="0.15">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spans="1:28" ht="13" x14ac:dyDescent="0.15">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spans="1:28" ht="13" x14ac:dyDescent="0.15">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spans="1:28" ht="13" x14ac:dyDescent="0.1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spans="1:28" ht="13" x14ac:dyDescent="0.15">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spans="1:28" ht="13" x14ac:dyDescent="0.15">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spans="1:28" ht="13" x14ac:dyDescent="0.15">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spans="1:28" ht="13" x14ac:dyDescent="0.15">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spans="1:28" ht="13" x14ac:dyDescent="0.15">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spans="1:28" ht="13" x14ac:dyDescent="0.15">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spans="1:28" ht="13" x14ac:dyDescent="0.15">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spans="1:28" ht="13" x14ac:dyDescent="0.15">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spans="1:28" ht="13" x14ac:dyDescent="0.15">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spans="1:28" ht="13" x14ac:dyDescent="0.1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spans="1:28" ht="13" x14ac:dyDescent="0.15">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spans="1:28" ht="13" x14ac:dyDescent="0.15">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spans="1:28" ht="13" x14ac:dyDescent="0.15">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spans="1:28" ht="13" x14ac:dyDescent="0.15">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spans="1:28" ht="13" x14ac:dyDescent="0.15">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spans="1:28" ht="13" x14ac:dyDescent="0.15">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spans="1:28" ht="13" x14ac:dyDescent="0.15">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spans="1:28" ht="13" x14ac:dyDescent="0.15">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spans="1:28" ht="13" x14ac:dyDescent="0.15">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spans="1:28" ht="13" x14ac:dyDescent="0.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spans="1:28" ht="13" x14ac:dyDescent="0.15">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spans="1:28" ht="13" x14ac:dyDescent="0.15">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spans="1:28" ht="13" x14ac:dyDescent="0.15">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spans="1:28" ht="13" x14ac:dyDescent="0.15">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spans="1:28" ht="13" x14ac:dyDescent="0.15">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spans="1:28" ht="13" x14ac:dyDescent="0.15">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spans="1:28" ht="13" x14ac:dyDescent="0.15">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spans="1:28" ht="13" x14ac:dyDescent="0.15">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spans="1:28" ht="13" x14ac:dyDescent="0.15">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spans="1:28" ht="13" x14ac:dyDescent="0.1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spans="1:28" ht="13" x14ac:dyDescent="0.15">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spans="1:28" ht="13" x14ac:dyDescent="0.15">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spans="1:28" ht="13" x14ac:dyDescent="0.15">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spans="1:28" ht="13" x14ac:dyDescent="0.15">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spans="1:28" ht="13" x14ac:dyDescent="0.15">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spans="1:28" ht="13" x14ac:dyDescent="0.15">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spans="1:28" ht="13" x14ac:dyDescent="0.15">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spans="1:28" ht="13" x14ac:dyDescent="0.15">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spans="1:28" ht="13" x14ac:dyDescent="0.15">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spans="1:28" ht="13" x14ac:dyDescent="0.1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spans="1:28" ht="13" x14ac:dyDescent="0.15">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spans="1:28" ht="13" x14ac:dyDescent="0.15">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spans="1:28" ht="13" x14ac:dyDescent="0.15">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spans="1:28" ht="13" x14ac:dyDescent="0.15">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spans="1:28" ht="13" x14ac:dyDescent="0.15">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spans="1:28" ht="13" x14ac:dyDescent="0.15">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spans="1:28" ht="13" x14ac:dyDescent="0.15">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spans="1:28" ht="13" x14ac:dyDescent="0.15">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spans="1:28" ht="13" x14ac:dyDescent="0.15">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spans="1:28" ht="13" x14ac:dyDescent="0.1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spans="1:28" ht="13" x14ac:dyDescent="0.15">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spans="1:28" ht="13" x14ac:dyDescent="0.15">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spans="1:28" ht="13" x14ac:dyDescent="0.15">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spans="1:28" ht="13" x14ac:dyDescent="0.15">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spans="1:28" ht="13" x14ac:dyDescent="0.15">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spans="1:28" ht="13" x14ac:dyDescent="0.15">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spans="1:28" ht="13" x14ac:dyDescent="0.15">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spans="1:28" ht="13" x14ac:dyDescent="0.15">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spans="1:28" ht="13" x14ac:dyDescent="0.15">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spans="1:28" ht="13" x14ac:dyDescent="0.1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spans="1:28" ht="13" x14ac:dyDescent="0.15">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spans="1:28" ht="13" x14ac:dyDescent="0.15">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spans="1:28" ht="13" x14ac:dyDescent="0.15">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spans="1:28" ht="13" x14ac:dyDescent="0.15">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spans="1:28" ht="13" x14ac:dyDescent="0.15">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spans="1:28" ht="13" x14ac:dyDescent="0.15">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spans="1:28" ht="13" x14ac:dyDescent="0.15">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spans="1:28" ht="13" x14ac:dyDescent="0.15">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spans="1:28" ht="13" x14ac:dyDescent="0.15">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spans="1:28" ht="13" x14ac:dyDescent="0.1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spans="1:28" ht="13" x14ac:dyDescent="0.15">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spans="1:28" ht="13" x14ac:dyDescent="0.15">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spans="1:28" ht="13" x14ac:dyDescent="0.15">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spans="1:28" ht="13" x14ac:dyDescent="0.15">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spans="1:28" ht="13" x14ac:dyDescent="0.15">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spans="1:28" ht="13" x14ac:dyDescent="0.15">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spans="1:28" ht="13" x14ac:dyDescent="0.15">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spans="1:28" ht="13" x14ac:dyDescent="0.15">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spans="1:28" ht="13" x14ac:dyDescent="0.15">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spans="1:28" ht="13" x14ac:dyDescent="0.1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spans="1:28" ht="13" x14ac:dyDescent="0.15">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spans="1:28" ht="13" x14ac:dyDescent="0.15">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spans="1:28" ht="13" x14ac:dyDescent="0.15">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spans="1:28" ht="13" x14ac:dyDescent="0.15">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spans="1:28" ht="13" x14ac:dyDescent="0.15">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spans="1:28" ht="13" x14ac:dyDescent="0.15">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spans="1:28" ht="13" x14ac:dyDescent="0.15">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spans="1:28" ht="13" x14ac:dyDescent="0.15">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spans="1:28" ht="13" x14ac:dyDescent="0.15">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spans="1:28" ht="13" x14ac:dyDescent="0.1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spans="1:28" ht="13" x14ac:dyDescent="0.15">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spans="1:28" ht="13" x14ac:dyDescent="0.15">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spans="1:28" ht="13" x14ac:dyDescent="0.15">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spans="1:28" ht="13" x14ac:dyDescent="0.15">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spans="1:28" ht="13" x14ac:dyDescent="0.15">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spans="1:28" ht="13" x14ac:dyDescent="0.15">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spans="1:28" ht="13" x14ac:dyDescent="0.15">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spans="1:28" ht="13" x14ac:dyDescent="0.15">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spans="1:28" ht="13" x14ac:dyDescent="0.15">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spans="1:28" ht="13" x14ac:dyDescent="0.1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spans="1:28" ht="13" x14ac:dyDescent="0.15">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spans="1:28" ht="13" x14ac:dyDescent="0.15">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spans="1:28" ht="13" x14ac:dyDescent="0.15">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spans="1:28" ht="13" x14ac:dyDescent="0.15">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spans="1:28" ht="13" x14ac:dyDescent="0.15">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spans="1:28" ht="13" x14ac:dyDescent="0.15">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spans="1:28" ht="13" x14ac:dyDescent="0.15">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spans="1:28" ht="13" x14ac:dyDescent="0.15">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spans="1:28" ht="13" x14ac:dyDescent="0.15">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spans="1:28" ht="13" x14ac:dyDescent="0.1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spans="1:28" ht="13" x14ac:dyDescent="0.15">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spans="1:28" ht="13" x14ac:dyDescent="0.15">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spans="1:28" ht="13" x14ac:dyDescent="0.15">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spans="1:28" ht="13" x14ac:dyDescent="0.15">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spans="1:28" ht="13" x14ac:dyDescent="0.15">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spans="1:28" ht="13" x14ac:dyDescent="0.15">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spans="1:28" ht="13" x14ac:dyDescent="0.15">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spans="1:28" ht="13" x14ac:dyDescent="0.15">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spans="1:28" ht="13" x14ac:dyDescent="0.15">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spans="1:28" ht="13" x14ac:dyDescent="0.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spans="1:28" ht="13" x14ac:dyDescent="0.15">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spans="1:28" ht="13" x14ac:dyDescent="0.15">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spans="1:28" ht="13" x14ac:dyDescent="0.15">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spans="1:28" ht="13" x14ac:dyDescent="0.15">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spans="1:28" ht="13" x14ac:dyDescent="0.15">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spans="1:28" ht="13" x14ac:dyDescent="0.15">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spans="1:28" ht="13" x14ac:dyDescent="0.15">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spans="1:28" ht="13" x14ac:dyDescent="0.15">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spans="1:28" ht="13" x14ac:dyDescent="0.15">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spans="1:28" ht="13" x14ac:dyDescent="0.1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spans="1:28" ht="13" x14ac:dyDescent="0.15">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spans="1:28" ht="13" x14ac:dyDescent="0.15">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spans="1:28" ht="13" x14ac:dyDescent="0.15">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spans="1:28" ht="13" x14ac:dyDescent="0.15">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spans="1:28" ht="13" x14ac:dyDescent="0.15">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spans="1:28" ht="13" x14ac:dyDescent="0.15">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spans="1:28" ht="13" x14ac:dyDescent="0.15">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spans="1:28" ht="13" x14ac:dyDescent="0.15">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spans="1:28" ht="13" x14ac:dyDescent="0.15">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spans="1:28" ht="13" x14ac:dyDescent="0.1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spans="1:28" ht="13" x14ac:dyDescent="0.15">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spans="1:28" ht="13" x14ac:dyDescent="0.15">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spans="1:28" ht="13" x14ac:dyDescent="0.15">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spans="1:28" ht="13" x14ac:dyDescent="0.15">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spans="1:28" ht="13" x14ac:dyDescent="0.15">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spans="1:28" ht="13" x14ac:dyDescent="0.15">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spans="1:28" ht="13" x14ac:dyDescent="0.15">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spans="1:28" ht="13" x14ac:dyDescent="0.15">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spans="1:28" ht="13" x14ac:dyDescent="0.15">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spans="1:28" ht="13" x14ac:dyDescent="0.1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spans="1:28" ht="13" x14ac:dyDescent="0.15">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spans="1:28" ht="13" x14ac:dyDescent="0.15">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spans="1:28" ht="13" x14ac:dyDescent="0.15">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spans="1:28" ht="13" x14ac:dyDescent="0.15">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spans="1:28" ht="13" x14ac:dyDescent="0.15">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spans="1:28" ht="13" x14ac:dyDescent="0.15">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spans="1:28" ht="13" x14ac:dyDescent="0.15">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spans="1:28" ht="13" x14ac:dyDescent="0.15">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spans="1:28" ht="13" x14ac:dyDescent="0.15">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spans="1:28" ht="13" x14ac:dyDescent="0.1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spans="1:28" ht="13" x14ac:dyDescent="0.15">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spans="1:28" ht="13" x14ac:dyDescent="0.15">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spans="1:28" ht="13" x14ac:dyDescent="0.15">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spans="1:28" ht="13" x14ac:dyDescent="0.15">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spans="1:28" ht="13" x14ac:dyDescent="0.15">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spans="1:28" ht="13" x14ac:dyDescent="0.15">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spans="1:28" ht="13" x14ac:dyDescent="0.15">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spans="1:28" ht="13" x14ac:dyDescent="0.15">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spans="1:28" ht="13" x14ac:dyDescent="0.15">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spans="1:28" ht="13" x14ac:dyDescent="0.1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spans="1:28" ht="13" x14ac:dyDescent="0.15">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spans="1:28" ht="13" x14ac:dyDescent="0.15">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spans="1:28" ht="13" x14ac:dyDescent="0.15">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spans="1:28" ht="13" x14ac:dyDescent="0.15">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spans="1:28" ht="13" x14ac:dyDescent="0.15">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spans="1:28" ht="13" x14ac:dyDescent="0.15">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spans="1:28" ht="13" x14ac:dyDescent="0.15">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spans="1:28" ht="13" x14ac:dyDescent="0.15">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spans="1:28" ht="13" x14ac:dyDescent="0.15">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spans="1:28" ht="13" x14ac:dyDescent="0.1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spans="1:28" ht="13" x14ac:dyDescent="0.15">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spans="1:28" ht="13" x14ac:dyDescent="0.15">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spans="1:28" ht="13" x14ac:dyDescent="0.15">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spans="1:28" ht="13" x14ac:dyDescent="0.15">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spans="1:28" ht="13" x14ac:dyDescent="0.15">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spans="1:28" ht="13" x14ac:dyDescent="0.15">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spans="1:28" ht="13" x14ac:dyDescent="0.15">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spans="1:28" ht="13" x14ac:dyDescent="0.15">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spans="1:28" ht="13" x14ac:dyDescent="0.15">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spans="1:28" ht="13" x14ac:dyDescent="0.1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spans="1:28" ht="13" x14ac:dyDescent="0.15">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spans="1:28" ht="13" x14ac:dyDescent="0.15">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spans="1:28" ht="13" x14ac:dyDescent="0.15">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spans="1:28" ht="13" x14ac:dyDescent="0.15">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spans="1:28" ht="13" x14ac:dyDescent="0.15">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spans="1:28" ht="13" x14ac:dyDescent="0.15">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spans="1:28" ht="13" x14ac:dyDescent="0.15">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spans="1:28" ht="13" x14ac:dyDescent="0.15">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spans="1:28" ht="13" x14ac:dyDescent="0.15">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spans="1:28" ht="13" x14ac:dyDescent="0.1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spans="1:28" ht="13" x14ac:dyDescent="0.15">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spans="1:28" ht="13" x14ac:dyDescent="0.15">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spans="1:28" ht="13" x14ac:dyDescent="0.15">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spans="1:28" ht="13" x14ac:dyDescent="0.15">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spans="1:28" ht="13" x14ac:dyDescent="0.15">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spans="1:28" ht="13" x14ac:dyDescent="0.15">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spans="1:28" ht="13" x14ac:dyDescent="0.15">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spans="1:28" ht="13" x14ac:dyDescent="0.15">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spans="1:28" ht="13" x14ac:dyDescent="0.15">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spans="1:28" ht="13" x14ac:dyDescent="0.1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spans="1:28" ht="13" x14ac:dyDescent="0.15">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spans="1:28" ht="13" x14ac:dyDescent="0.15">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spans="1:28" ht="13" x14ac:dyDescent="0.15">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spans="1:28" ht="13" x14ac:dyDescent="0.15">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spans="1:28" ht="13" x14ac:dyDescent="0.15">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spans="1:28" ht="13" x14ac:dyDescent="0.15">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spans="1:28" ht="13" x14ac:dyDescent="0.15">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spans="1:28" ht="13" x14ac:dyDescent="0.15">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spans="1:28" ht="13" x14ac:dyDescent="0.15">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spans="1:28" ht="13" x14ac:dyDescent="0.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spans="1:28" ht="13" x14ac:dyDescent="0.15">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spans="1:28" ht="13" x14ac:dyDescent="0.15">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spans="1:28" ht="13" x14ac:dyDescent="0.15">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spans="1:28" ht="13" x14ac:dyDescent="0.15">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spans="1:28" ht="13" x14ac:dyDescent="0.15">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spans="1:28" ht="13" x14ac:dyDescent="0.15">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spans="1:28" ht="13" x14ac:dyDescent="0.15">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spans="1:28" ht="13" x14ac:dyDescent="0.15">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spans="1:28" ht="13" x14ac:dyDescent="0.15">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spans="1:28" ht="13" x14ac:dyDescent="0.1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spans="1:28" ht="13" x14ac:dyDescent="0.15">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spans="1:28" ht="13" x14ac:dyDescent="0.15">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spans="1:28" ht="13" x14ac:dyDescent="0.15">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spans="1:28" ht="13" x14ac:dyDescent="0.15">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spans="1:28" ht="13" x14ac:dyDescent="0.15">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spans="1:28" ht="13" x14ac:dyDescent="0.15">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spans="1:28" ht="13" x14ac:dyDescent="0.15">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spans="1:28" ht="13" x14ac:dyDescent="0.15">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spans="1:28" ht="13" x14ac:dyDescent="0.15">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spans="1:28" ht="13" x14ac:dyDescent="0.1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spans="1:28" ht="13" x14ac:dyDescent="0.15">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spans="1:28" ht="13" x14ac:dyDescent="0.15">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spans="1:28" ht="13" x14ac:dyDescent="0.15">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spans="1:28" ht="13" x14ac:dyDescent="0.15">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spans="1:28" ht="13" x14ac:dyDescent="0.15">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spans="1:28" ht="13" x14ac:dyDescent="0.15">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spans="1:28" ht="13" x14ac:dyDescent="0.15">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spans="1:28" ht="13" x14ac:dyDescent="0.15">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spans="1:28" ht="13" x14ac:dyDescent="0.15">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spans="1:28" ht="13" x14ac:dyDescent="0.1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spans="1:28" ht="13" x14ac:dyDescent="0.15">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spans="1:28" ht="13" x14ac:dyDescent="0.15">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spans="1:28" ht="13" x14ac:dyDescent="0.15">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spans="1:28" ht="13" x14ac:dyDescent="0.15">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spans="1:28" ht="13" x14ac:dyDescent="0.15">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spans="1:28" ht="13" x14ac:dyDescent="0.15">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spans="1:28" ht="13" x14ac:dyDescent="0.15">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spans="1:28" ht="13" x14ac:dyDescent="0.15">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spans="1:28" ht="13" x14ac:dyDescent="0.15">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spans="1:28" ht="13" x14ac:dyDescent="0.1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spans="1:28" ht="13" x14ac:dyDescent="0.15">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spans="1:28" ht="13" x14ac:dyDescent="0.15">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spans="1:28" ht="13" x14ac:dyDescent="0.15">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spans="1:28" ht="13" x14ac:dyDescent="0.15">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spans="1:28" ht="13" x14ac:dyDescent="0.15">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spans="1:28" ht="13" x14ac:dyDescent="0.15">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spans="1:28" ht="13" x14ac:dyDescent="0.15">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spans="1:28" ht="13" x14ac:dyDescent="0.15">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spans="1:28" ht="13" x14ac:dyDescent="0.15">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spans="1:28" ht="13" x14ac:dyDescent="0.1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spans="1:28" ht="13" x14ac:dyDescent="0.15">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spans="1:28" ht="13" x14ac:dyDescent="0.15">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spans="1:28" ht="13" x14ac:dyDescent="0.15">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spans="1:28" ht="13" x14ac:dyDescent="0.15">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spans="1:28" ht="13" x14ac:dyDescent="0.15">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spans="1:28" ht="13" x14ac:dyDescent="0.15">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spans="1:28" ht="13" x14ac:dyDescent="0.15">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spans="1:28" ht="13" x14ac:dyDescent="0.15">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spans="1:28" ht="13" x14ac:dyDescent="0.15">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spans="1:28" ht="13" x14ac:dyDescent="0.1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spans="1:28" ht="13" x14ac:dyDescent="0.15">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spans="1:28" ht="13" x14ac:dyDescent="0.15">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spans="1:28" ht="13" x14ac:dyDescent="0.15">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spans="1:28" ht="13" x14ac:dyDescent="0.15">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spans="1:28" ht="13" x14ac:dyDescent="0.15">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spans="1:28" ht="13" x14ac:dyDescent="0.15">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spans="1:28" ht="13" x14ac:dyDescent="0.15">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spans="1:28" ht="13" x14ac:dyDescent="0.15">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spans="1:28" ht="13" x14ac:dyDescent="0.15">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spans="1:28" ht="13" x14ac:dyDescent="0.1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spans="1:28" ht="13" x14ac:dyDescent="0.15">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spans="1:28" ht="13" x14ac:dyDescent="0.15">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spans="1:28" ht="13" x14ac:dyDescent="0.15">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spans="1:28" ht="13" x14ac:dyDescent="0.15">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spans="1:28" ht="13" x14ac:dyDescent="0.15">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spans="1:28" ht="13" x14ac:dyDescent="0.15">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spans="1:28" ht="13" x14ac:dyDescent="0.15">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spans="1:28" ht="13" x14ac:dyDescent="0.15">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spans="1:28" ht="13" x14ac:dyDescent="0.15">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spans="1:28" ht="13" x14ac:dyDescent="0.1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spans="1:28" ht="13" x14ac:dyDescent="0.15">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spans="1:28" ht="13" x14ac:dyDescent="0.15">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spans="1:28" ht="13" x14ac:dyDescent="0.15">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spans="1:28" ht="13" x14ac:dyDescent="0.15">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spans="1:28" ht="13" x14ac:dyDescent="0.15">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spans="1:28" ht="13" x14ac:dyDescent="0.15">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spans="1:28" ht="13" x14ac:dyDescent="0.15">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spans="1:28" ht="13" x14ac:dyDescent="0.15">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spans="1:28" ht="13" x14ac:dyDescent="0.15">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spans="1:28" ht="13" x14ac:dyDescent="0.1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spans="1:28" ht="13" x14ac:dyDescent="0.15">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spans="1:28" ht="13" x14ac:dyDescent="0.15">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spans="1:28" ht="13" x14ac:dyDescent="0.15">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spans="1:28" ht="13" x14ac:dyDescent="0.15">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spans="1:28" ht="13" x14ac:dyDescent="0.15">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spans="1:28" ht="13" x14ac:dyDescent="0.15">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spans="1:28" ht="13" x14ac:dyDescent="0.15">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spans="1:28" ht="13" x14ac:dyDescent="0.15">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spans="1:28" ht="13" x14ac:dyDescent="0.15">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spans="1:28" ht="13" x14ac:dyDescent="0.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spans="1:28" ht="13" x14ac:dyDescent="0.15">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spans="1:28" ht="13" x14ac:dyDescent="0.15">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spans="1:28" ht="13" x14ac:dyDescent="0.15">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spans="1:28" ht="13" x14ac:dyDescent="0.15">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spans="1:28" ht="13" x14ac:dyDescent="0.15">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spans="1:28" ht="13" x14ac:dyDescent="0.15">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spans="1:28" ht="13" x14ac:dyDescent="0.15">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spans="1:28" ht="13" x14ac:dyDescent="0.15">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spans="1:28" ht="13" x14ac:dyDescent="0.15">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spans="1:28" ht="13" x14ac:dyDescent="0.1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spans="1:28" ht="13" x14ac:dyDescent="0.15">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spans="1:28" ht="13" x14ac:dyDescent="0.15">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spans="1:28" ht="13" x14ac:dyDescent="0.15">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spans="1:28" ht="13" x14ac:dyDescent="0.15">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spans="1:28" ht="13" x14ac:dyDescent="0.15">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spans="1:28" ht="13" x14ac:dyDescent="0.15">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spans="1:28" ht="13" x14ac:dyDescent="0.15">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spans="1:28" ht="13" x14ac:dyDescent="0.15">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spans="1:28" ht="13" x14ac:dyDescent="0.15">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spans="1:28" ht="13" x14ac:dyDescent="0.1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spans="1:28" ht="13" x14ac:dyDescent="0.15">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spans="1:28" ht="13" x14ac:dyDescent="0.15">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spans="1:28" ht="13" x14ac:dyDescent="0.15">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spans="1:28" ht="13" x14ac:dyDescent="0.15">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spans="1:28" ht="13" x14ac:dyDescent="0.15">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spans="1:28" ht="13" x14ac:dyDescent="0.15">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spans="1:28" ht="13" x14ac:dyDescent="0.15">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spans="1:28" ht="13" x14ac:dyDescent="0.15">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spans="1:28" ht="13" x14ac:dyDescent="0.15">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spans="1:28" ht="13" x14ac:dyDescent="0.1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spans="1:28" ht="13" x14ac:dyDescent="0.15">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spans="1:28" ht="13" x14ac:dyDescent="0.15">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spans="1:28" ht="13" x14ac:dyDescent="0.15">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spans="1:28" ht="13" x14ac:dyDescent="0.15">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spans="1:28" ht="13" x14ac:dyDescent="0.15">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spans="1:28" ht="13" x14ac:dyDescent="0.15">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spans="1:28" ht="13" x14ac:dyDescent="0.15">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spans="1:28" ht="13" x14ac:dyDescent="0.15">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spans="1:28" ht="13" x14ac:dyDescent="0.15">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spans="1:28" ht="13" x14ac:dyDescent="0.1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spans="1:28" ht="13" x14ac:dyDescent="0.15">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spans="1:28" ht="13" x14ac:dyDescent="0.15">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spans="1:28" ht="13" x14ac:dyDescent="0.15">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spans="1:28" ht="13" x14ac:dyDescent="0.15">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spans="1:28" ht="13" x14ac:dyDescent="0.15">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spans="1:28" ht="13" x14ac:dyDescent="0.15">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spans="1:28" ht="13" x14ac:dyDescent="0.15">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spans="1:28" ht="13" x14ac:dyDescent="0.15">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spans="1:28" ht="13" x14ac:dyDescent="0.15">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spans="1:28" ht="13" x14ac:dyDescent="0.1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spans="1:28" ht="13" x14ac:dyDescent="0.15">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spans="1:28" ht="13" x14ac:dyDescent="0.15">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spans="1:28" ht="13" x14ac:dyDescent="0.15">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spans="1:28" ht="13" x14ac:dyDescent="0.15">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spans="1:28" ht="13" x14ac:dyDescent="0.15">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spans="1:28" ht="13" x14ac:dyDescent="0.15">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spans="1:28" ht="13" x14ac:dyDescent="0.15">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spans="1:28" ht="13" x14ac:dyDescent="0.15">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spans="1:28" ht="13" x14ac:dyDescent="0.15">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spans="1:28" ht="13" x14ac:dyDescent="0.1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spans="1:28" ht="13" x14ac:dyDescent="0.15">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spans="1:28" ht="13" x14ac:dyDescent="0.15">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spans="1:28" ht="13" x14ac:dyDescent="0.15">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spans="1:28" ht="13" x14ac:dyDescent="0.15">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spans="1:28" ht="13" x14ac:dyDescent="0.15">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spans="1:28" ht="13" x14ac:dyDescent="0.15">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spans="1:28" ht="13" x14ac:dyDescent="0.15">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spans="1:28" ht="13" x14ac:dyDescent="0.15">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spans="1:28" ht="13" x14ac:dyDescent="0.15">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spans="1:28" ht="13" x14ac:dyDescent="0.1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spans="1:28" ht="13" x14ac:dyDescent="0.15">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spans="1:28" ht="13" x14ac:dyDescent="0.15">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spans="1:28" ht="13" x14ac:dyDescent="0.15">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spans="1:28" ht="13" x14ac:dyDescent="0.15">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spans="1:28" ht="13" x14ac:dyDescent="0.15">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spans="1:28" ht="13" x14ac:dyDescent="0.15">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spans="1:28" ht="13" x14ac:dyDescent="0.15">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spans="1:28" ht="13" x14ac:dyDescent="0.15">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spans="1:28" ht="13" x14ac:dyDescent="0.15">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spans="1:28" ht="13" x14ac:dyDescent="0.1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spans="1:28" ht="13" x14ac:dyDescent="0.15">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spans="1:28" ht="13" x14ac:dyDescent="0.15">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spans="1:28" ht="13" x14ac:dyDescent="0.15">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spans="1:28" ht="13" x14ac:dyDescent="0.15">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spans="1:28" ht="13" x14ac:dyDescent="0.15">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spans="1:28" ht="13" x14ac:dyDescent="0.15">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spans="1:28" ht="13" x14ac:dyDescent="0.15">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spans="1:28" ht="13" x14ac:dyDescent="0.15">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spans="1:28" ht="13" x14ac:dyDescent="0.15">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spans="1:28" ht="13" x14ac:dyDescent="0.1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spans="1:28" ht="13" x14ac:dyDescent="0.15">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spans="1:28" ht="13" x14ac:dyDescent="0.15">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spans="1:28" ht="13" x14ac:dyDescent="0.15">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spans="1:28" ht="13" x14ac:dyDescent="0.15">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spans="1:28" ht="13" x14ac:dyDescent="0.15">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spans="1:28" ht="13" x14ac:dyDescent="0.15">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spans="1:28" ht="13" x14ac:dyDescent="0.15">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spans="1:28" ht="13" x14ac:dyDescent="0.15">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spans="1:28" ht="13" x14ac:dyDescent="0.15">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spans="1:28" ht="13" x14ac:dyDescent="0.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spans="1:28" ht="13" x14ac:dyDescent="0.15">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spans="1:28" ht="13" x14ac:dyDescent="0.15">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spans="1:28" ht="13" x14ac:dyDescent="0.15">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spans="1:28" ht="13" x14ac:dyDescent="0.15">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spans="1:28" ht="13" x14ac:dyDescent="0.15">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spans="1:28" ht="13" x14ac:dyDescent="0.15">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spans="1:28" ht="13" x14ac:dyDescent="0.15">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spans="1:28" ht="13" x14ac:dyDescent="0.15">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spans="1:28" ht="13" x14ac:dyDescent="0.15">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spans="1:28" ht="13" x14ac:dyDescent="0.1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spans="1:28" ht="13" x14ac:dyDescent="0.15">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spans="1:28" ht="13" x14ac:dyDescent="0.15">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spans="1:28" ht="13" x14ac:dyDescent="0.15">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spans="1:28" ht="13" x14ac:dyDescent="0.15">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spans="1:28" ht="13" x14ac:dyDescent="0.15">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spans="1:28" ht="13" x14ac:dyDescent="0.15">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spans="1:28" ht="13" x14ac:dyDescent="0.15">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spans="1:28" ht="13" x14ac:dyDescent="0.15">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spans="1:28" ht="13" x14ac:dyDescent="0.15">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spans="1:28" ht="13" x14ac:dyDescent="0.1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spans="1:28" ht="13" x14ac:dyDescent="0.15">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spans="1:28" ht="13" x14ac:dyDescent="0.15">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spans="1:28" ht="13" x14ac:dyDescent="0.15">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spans="1:28" ht="13" x14ac:dyDescent="0.15">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spans="1:28" ht="13" x14ac:dyDescent="0.15">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spans="1:28" ht="13" x14ac:dyDescent="0.15">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spans="1:28" ht="13" x14ac:dyDescent="0.15">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spans="1:28" ht="13" x14ac:dyDescent="0.15">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spans="1:28" ht="13" x14ac:dyDescent="0.15">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spans="1:28" ht="13" x14ac:dyDescent="0.1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spans="1:28" ht="13" x14ac:dyDescent="0.15">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spans="1:28" ht="13" x14ac:dyDescent="0.15">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spans="1:28" ht="13" x14ac:dyDescent="0.15">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spans="1:28" ht="13" x14ac:dyDescent="0.15">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spans="1:28" ht="13" x14ac:dyDescent="0.15">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spans="1:28" ht="13" x14ac:dyDescent="0.15">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spans="1:28" ht="13" x14ac:dyDescent="0.15">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spans="1:28" ht="13" x14ac:dyDescent="0.15">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spans="1:28" ht="13" x14ac:dyDescent="0.15">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spans="1:28" ht="13" x14ac:dyDescent="0.1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spans="1:28" ht="13" x14ac:dyDescent="0.15">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spans="1:28" ht="13" x14ac:dyDescent="0.15">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spans="1:28" ht="13" x14ac:dyDescent="0.15">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spans="1:28" ht="13" x14ac:dyDescent="0.15">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spans="1:28" ht="13" x14ac:dyDescent="0.15">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spans="1:28" ht="13" x14ac:dyDescent="0.15">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spans="1:28" ht="13" x14ac:dyDescent="0.15">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spans="1:28" ht="13" x14ac:dyDescent="0.15">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spans="1:28" ht="13" x14ac:dyDescent="0.15">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spans="1:28" ht="13" x14ac:dyDescent="0.1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spans="1:28" ht="13" x14ac:dyDescent="0.15">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spans="1:28" ht="13" x14ac:dyDescent="0.15">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spans="1:28" ht="13" x14ac:dyDescent="0.15">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spans="1:28" ht="13" x14ac:dyDescent="0.15">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spans="1:28" ht="13" x14ac:dyDescent="0.15">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spans="1:28" ht="13" x14ac:dyDescent="0.15">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spans="1:28" ht="13" x14ac:dyDescent="0.15">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spans="1:28" ht="13" x14ac:dyDescent="0.15">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spans="1:28" ht="13" x14ac:dyDescent="0.15">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spans="1:28" ht="13" x14ac:dyDescent="0.1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spans="1:28" ht="13" x14ac:dyDescent="0.15">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spans="1:28" ht="13" x14ac:dyDescent="0.15">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spans="1:28" ht="13" x14ac:dyDescent="0.15">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spans="1:28" ht="13" x14ac:dyDescent="0.15">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spans="1:28" ht="13" x14ac:dyDescent="0.15">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spans="1:28" ht="13" x14ac:dyDescent="0.15">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spans="1:28" ht="13" x14ac:dyDescent="0.15">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spans="1:28" ht="13" x14ac:dyDescent="0.15">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spans="1:28" ht="13" x14ac:dyDescent="0.15">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spans="1:28" ht="13" x14ac:dyDescent="0.1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spans="1:28" ht="13" x14ac:dyDescent="0.15">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spans="1:28" ht="13" x14ac:dyDescent="0.15">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spans="1:28" ht="13" x14ac:dyDescent="0.15">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spans="1:28" ht="13" x14ac:dyDescent="0.15">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spans="1:28" ht="13" x14ac:dyDescent="0.15">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spans="1:28" ht="13" x14ac:dyDescent="0.15">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spans="1:28" ht="13" x14ac:dyDescent="0.15">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spans="1:28" ht="13" x14ac:dyDescent="0.15">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spans="1:28" ht="13" x14ac:dyDescent="0.15">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spans="1:28" ht="13" x14ac:dyDescent="0.1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spans="1:28" ht="13" x14ac:dyDescent="0.15">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spans="1:28" ht="13" x14ac:dyDescent="0.15">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spans="1:28" ht="13" x14ac:dyDescent="0.15">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spans="1:28" ht="13" x14ac:dyDescent="0.15">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spans="1:28" ht="13" x14ac:dyDescent="0.15">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spans="1:28" ht="13" x14ac:dyDescent="0.15">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spans="1:28" ht="13" x14ac:dyDescent="0.15">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spans="1:28" ht="13" x14ac:dyDescent="0.15">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spans="1:28" ht="13" x14ac:dyDescent="0.15">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spans="1:28" ht="13" x14ac:dyDescent="0.1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spans="1:28" ht="13" x14ac:dyDescent="0.15">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spans="1:28" ht="13" x14ac:dyDescent="0.15">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spans="1:28" ht="13" x14ac:dyDescent="0.15">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spans="1:28" ht="13" x14ac:dyDescent="0.15">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spans="1:28" ht="13" x14ac:dyDescent="0.15">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spans="1:28" ht="13" x14ac:dyDescent="0.15">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spans="1:28" ht="13" x14ac:dyDescent="0.15">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spans="1:28" ht="13" x14ac:dyDescent="0.15">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spans="1:28" ht="13" x14ac:dyDescent="0.15">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spans="1:28" ht="13" x14ac:dyDescent="0.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spans="1:28" ht="13" x14ac:dyDescent="0.15">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spans="1:28" ht="13" x14ac:dyDescent="0.15">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spans="1:28" ht="13" x14ac:dyDescent="0.15">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spans="1:28" ht="13" x14ac:dyDescent="0.15">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spans="1:28" ht="13" x14ac:dyDescent="0.15">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spans="1:28" ht="13" x14ac:dyDescent="0.15">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spans="1:28" ht="13" x14ac:dyDescent="0.15">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spans="1:28" ht="13" x14ac:dyDescent="0.15">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spans="1:28" ht="13" x14ac:dyDescent="0.15">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spans="1:28" ht="13" x14ac:dyDescent="0.1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spans="1:28" ht="13" x14ac:dyDescent="0.15">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spans="1:28" ht="13" x14ac:dyDescent="0.15">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spans="1:28" ht="13" x14ac:dyDescent="0.15">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spans="1:28" ht="13" x14ac:dyDescent="0.15">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spans="1:28" ht="13" x14ac:dyDescent="0.15">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spans="1:28" ht="13" x14ac:dyDescent="0.15">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spans="1:28" ht="13" x14ac:dyDescent="0.15">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spans="1:28" ht="13" x14ac:dyDescent="0.15">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spans="1:28" ht="13" x14ac:dyDescent="0.15">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spans="1:28" ht="13" x14ac:dyDescent="0.1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spans="1:28" ht="13" x14ac:dyDescent="0.15">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spans="1:28" ht="13" x14ac:dyDescent="0.15">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spans="1:28" ht="13" x14ac:dyDescent="0.15">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spans="1:28" ht="13" x14ac:dyDescent="0.15">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spans="1:28" ht="13" x14ac:dyDescent="0.15">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spans="1:28" ht="13" x14ac:dyDescent="0.15">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spans="1:28" ht="13" x14ac:dyDescent="0.15">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spans="1:28" ht="13" x14ac:dyDescent="0.15">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spans="1:28" ht="13" x14ac:dyDescent="0.15">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spans="1:28" ht="13" x14ac:dyDescent="0.1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spans="1:28" ht="13" x14ac:dyDescent="0.15">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spans="1:28" ht="13" x14ac:dyDescent="0.15">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spans="1:28" ht="13" x14ac:dyDescent="0.15">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spans="1:28" ht="13" x14ac:dyDescent="0.15">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spans="1:28" ht="13" x14ac:dyDescent="0.15">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spans="1:28" ht="13" x14ac:dyDescent="0.15">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spans="1:28" ht="13" x14ac:dyDescent="0.15">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spans="1:28" ht="13" x14ac:dyDescent="0.15">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spans="1:28" ht="13" x14ac:dyDescent="0.15">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spans="1:28" ht="13" x14ac:dyDescent="0.1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spans="1:28" ht="13" x14ac:dyDescent="0.15">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spans="1:28" ht="13" x14ac:dyDescent="0.15">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spans="1:28" ht="13" x14ac:dyDescent="0.15">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spans="1:28" ht="13" x14ac:dyDescent="0.15">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spans="1:28" ht="13" x14ac:dyDescent="0.15">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spans="1:28" ht="13" x14ac:dyDescent="0.15">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spans="1:28" ht="13" x14ac:dyDescent="0.15">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spans="1:28" ht="13" x14ac:dyDescent="0.15">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spans="1:28" ht="13" x14ac:dyDescent="0.15">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spans="1:28" ht="13" x14ac:dyDescent="0.1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spans="1:28" ht="13" x14ac:dyDescent="0.15">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spans="1:28" ht="13" x14ac:dyDescent="0.15">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spans="1:28" ht="13" x14ac:dyDescent="0.15">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spans="1:28" ht="13" x14ac:dyDescent="0.15">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spans="1:28" ht="13" x14ac:dyDescent="0.15">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spans="1:28" ht="13" x14ac:dyDescent="0.15">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spans="1:28" ht="13" x14ac:dyDescent="0.15">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spans="1:28" ht="13" x14ac:dyDescent="0.15">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spans="1:28" ht="13" x14ac:dyDescent="0.15">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spans="1:28" ht="13" x14ac:dyDescent="0.1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spans="1:28" ht="13" x14ac:dyDescent="0.15">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spans="1:28" ht="13" x14ac:dyDescent="0.15">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spans="1:28" ht="13" x14ac:dyDescent="0.15">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spans="1:28" ht="13" x14ac:dyDescent="0.15">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spans="1:28" ht="13" x14ac:dyDescent="0.15">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spans="1:28" ht="13" x14ac:dyDescent="0.15">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spans="1:28" ht="13" x14ac:dyDescent="0.15">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spans="1:28" ht="13" x14ac:dyDescent="0.15">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spans="1:28" ht="13" x14ac:dyDescent="0.15">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spans="1:28" ht="13" x14ac:dyDescent="0.1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spans="1:28" ht="13" x14ac:dyDescent="0.15">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spans="1:28" ht="13" x14ac:dyDescent="0.15">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spans="1:28" ht="13" x14ac:dyDescent="0.15">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spans="1:28" ht="13" x14ac:dyDescent="0.15">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spans="1:28" ht="13" x14ac:dyDescent="0.15">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spans="1:28" ht="13" x14ac:dyDescent="0.15">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spans="1:28" ht="13" x14ac:dyDescent="0.15">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spans="1:28" ht="13" x14ac:dyDescent="0.15">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spans="1:28" ht="13" x14ac:dyDescent="0.15">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spans="1:28" ht="13" x14ac:dyDescent="0.1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spans="1:28" ht="13" x14ac:dyDescent="0.15">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spans="1:28" ht="13" x14ac:dyDescent="0.15">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spans="1:28" ht="13" x14ac:dyDescent="0.15">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spans="1:28" ht="13" x14ac:dyDescent="0.15">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spans="1:28" ht="13" x14ac:dyDescent="0.15">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spans="1:28" ht="13" x14ac:dyDescent="0.15">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spans="1:28" ht="13" x14ac:dyDescent="0.15">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spans="1:28" ht="13" x14ac:dyDescent="0.15">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spans="1:28" ht="13" x14ac:dyDescent="0.15">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spans="1:28" ht="13" x14ac:dyDescent="0.1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spans="1:28" ht="13" x14ac:dyDescent="0.15">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spans="1:28" ht="13" x14ac:dyDescent="0.15">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spans="1:28" ht="13" x14ac:dyDescent="0.15">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spans="1:28" ht="13" x14ac:dyDescent="0.15">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spans="1:28" ht="13" x14ac:dyDescent="0.15">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spans="1:28" ht="13" x14ac:dyDescent="0.15">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spans="1:28" ht="13" x14ac:dyDescent="0.15">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spans="1:28" ht="13" x14ac:dyDescent="0.15">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spans="1:28" ht="13" x14ac:dyDescent="0.15">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spans="1:28" ht="13" x14ac:dyDescent="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spans="1:28" ht="13" x14ac:dyDescent="0.15">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spans="1:28" ht="13" x14ac:dyDescent="0.15">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spans="1:28" ht="13" x14ac:dyDescent="0.15">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spans="1:28" ht="13" x14ac:dyDescent="0.15">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GUI</vt:lpstr>
      <vt:lpstr>ITEMS</vt:lpstr>
      <vt:lpstr>ENTITIES</vt:lpstr>
      <vt:lpstr>STATS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Madden</cp:lastModifiedBy>
  <dcterms:modified xsi:type="dcterms:W3CDTF">2021-12-15T03:57:41Z</dcterms:modified>
</cp:coreProperties>
</file>