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<sst xmlns="http://schemas.openxmlformats.org/spreadsheetml/2006/main" count="1417" uniqueCount="1211">
  <si>
    <r>
      <rPr>
        <b/>
        <color rgb="FF1155CC"/>
        <sz val="14.0"/>
        <u/>
      </rPr>
      <t>Rogueworld.io</t>
    </r>
    <r>
      <rPr>
        <b/>
        <color rgb="FFFFFFFF"/>
        <sz val="14.0"/>
      </rPr>
      <t xml:space="preserve"> translations</t>
    </r>
  </si>
  <si>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</si>
  <si>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</si>
  <si>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</si>
  <si>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</si>
  <si>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3 like the 
cell below, and may need to be updated. Change it back to normal (light green 3) when it is correct.</t>
  </si>
  <si>
    <t>Contains modified text, needs checking/updating</t>
  </si>
  <si>
    <t>Reddit: r/rogueworld u/WaywardWorlds</t>
  </si>
  <si>
    <t>ID</t>
  </si>
  <si>
    <t>English</t>
  </si>
  <si>
    <t>French</t>
  </si>
  <si>
    <t>Spanish</t>
  </si>
  <si>
    <t>Russian</t>
  </si>
  <si>
    <t>Turkish</t>
  </si>
  <si>
    <t>Portuguese</t>
  </si>
  <si>
    <t>German</t>
  </si>
  <si>
    <t>Polish</t>
  </si>
  <si>
    <t>Chinese</t>
  </si>
  <si>
    <t>Vietnamese</t>
  </si>
  <si>
    <t>Croatian</t>
  </si>
  <si>
    <t>Korean</t>
  </si>
  <si>
    <t>Language name</t>
  </si>
  <si>
    <t>Français</t>
  </si>
  <si>
    <t>Español</t>
  </si>
  <si>
    <t>Русский язык</t>
  </si>
  <si>
    <t>Türkçe</t>
  </si>
  <si>
    <t>Português</t>
  </si>
  <si>
    <t>Deutsch</t>
  </si>
  <si>
    <t>Polski</t>
  </si>
  <si>
    <t>中文</t>
  </si>
  <si>
    <t>Tiếng Việt</t>
  </si>
  <si>
    <t>Hrvatski</t>
  </si>
  <si>
    <t>한국어</t>
  </si>
  <si>
    <t>Language</t>
  </si>
  <si>
    <t>언어</t>
  </si>
  <si>
    <t>Add translation</t>
  </si>
  <si>
    <t>Add a translation</t>
  </si>
  <si>
    <t>번역 추가하기</t>
  </si>
  <si>
    <t>News</t>
  </si>
  <si>
    <t>Nouveautés</t>
  </si>
  <si>
    <t>새로운 소식</t>
  </si>
  <si>
    <t>New character</t>
  </si>
  <si>
    <t>Новый персонаж</t>
  </si>
  <si>
    <t>새 캐릭터</t>
  </si>
  <si>
    <t>Continue</t>
  </si>
  <si>
    <t>Продолжить</t>
  </si>
  <si>
    <t>이어하기</t>
  </si>
  <si>
    <t>Name input</t>
  </si>
  <si>
    <t>Enter a name</t>
  </si>
  <si>
    <t>이름을 입력하세요</t>
  </si>
  <si>
    <t>Username input</t>
  </si>
  <si>
    <t>Username</t>
  </si>
  <si>
    <t>사용자 이름 (ID)</t>
  </si>
  <si>
    <t>Password input</t>
  </si>
  <si>
    <t>Password</t>
  </si>
  <si>
    <t>비밀번호 (PW)</t>
  </si>
  <si>
    <t>Something went wrong</t>
  </si>
  <si>
    <t>Something went wrong.
Awkward... :/</t>
  </si>
  <si>
    <t>"Quelque chose s'est mal passé.
C'est Gênant... :/</t>
  </si>
  <si>
    <t>Неловко... :/    Что-то пошло              не так.</t>
  </si>
  <si>
    <t>무언가 잘못되었습니다.</t>
  </si>
  <si>
    <t>Game full</t>
  </si>
  <si>
    <t>Game is full.
Wow... :o</t>
  </si>
  <si>
    <t>"Le jeu est complet.
WOW ...: O"</t>
  </si>
  <si>
    <t>ВАУ!!! : О             Игра заполнена.</t>
  </si>
  <si>
    <t>게임이 꽉 찼습니다. 와우... ㅇ0ㅇ</t>
  </si>
  <si>
    <t>Connect game server warning</t>
  </si>
  <si>
    <t>Could not connect to game server.</t>
  </si>
  <si>
    <t>Impossible de se connecter au serveur de jeu.</t>
  </si>
  <si>
    <t>Не удалось подключиться к игровому серверу.        =(</t>
  </si>
  <si>
    <t>게임 서버와의 연결이 원활하지 않습니다.</t>
  </si>
  <si>
    <t>Username required</t>
  </si>
  <si>
    <t>Nom d'utilisateur requis</t>
  </si>
  <si>
    <t>Требуется имя пользователя.</t>
  </si>
  <si>
    <t>사용자 이름 (ID)이 필요합니다.</t>
  </si>
  <si>
    <t>Password required</t>
  </si>
  <si>
    <t>Password required.</t>
  </si>
  <si>
    <t>비밀번호 (PW)가 필요합니다.</t>
  </si>
  <si>
    <t>Invalid login details</t>
  </si>
  <si>
    <t>Invalid username or password.</t>
  </si>
  <si>
    <t>아이디 혹은 비밀번호가 잘못되었습니다.</t>
  </si>
  <si>
    <t>Already logged in</t>
  </si>
  <si>
    <t>That account is already logged in.</t>
  </si>
  <si>
    <t>Учетная запись уже используется.</t>
  </si>
  <si>
    <t>이미 로그인 한 상태입니다.</t>
  </si>
  <si>
    <t>Partners</t>
  </si>
  <si>
    <t>Partenaires</t>
  </si>
  <si>
    <t>동료</t>
  </si>
  <si>
    <t>Credits</t>
  </si>
  <si>
    <t>Титры</t>
  </si>
  <si>
    <t>만든 이들</t>
  </si>
  <si>
    <t>PTS</t>
  </si>
  <si>
    <t>ПТС - Публичный Тестовый Сервер</t>
  </si>
  <si>
    <t>Play</t>
  </si>
  <si>
    <t>Jouer</t>
  </si>
  <si>
    <t>Играть</t>
  </si>
  <si>
    <t>플레이</t>
  </si>
  <si>
    <t>Reconnect</t>
  </si>
  <si>
    <t>Se reconnecter</t>
  </si>
  <si>
    <t>Переподключение</t>
  </si>
  <si>
    <t>재연결</t>
  </si>
  <si>
    <t>Connecting to game server</t>
  </si>
  <si>
    <t>Connecting to game server...</t>
  </si>
  <si>
    <t>게임 서버에 접속 중입니다...</t>
  </si>
  <si>
    <t>Joining game world</t>
  </si>
  <si>
    <t>Joining game world...</t>
  </si>
  <si>
    <t>Arrivée dans le monde...</t>
  </si>
  <si>
    <t>Присоединение к игровому миру...</t>
  </si>
  <si>
    <t>게임 세계에 참가하는 중입니다...</t>
  </si>
  <si>
    <t>Loading</t>
  </si>
  <si>
    <t>로딩 중</t>
  </si>
  <si>
    <t>Game loaded</t>
  </si>
  <si>
    <t>Игра загружена</t>
  </si>
  <si>
    <t>게임 로드</t>
  </si>
  <si>
    <t>Next hint</t>
  </si>
  <si>
    <t>Astuce suivante</t>
  </si>
  <si>
    <t>Следующая подсказка</t>
  </si>
  <si>
    <t>다음 힌트</t>
  </si>
  <si>
    <t>Hint: Open source</t>
  </si>
  <si>
    <t>Rogueworld is open-source.</t>
  </si>
  <si>
    <t>Данженз имеет открытый исходный код</t>
  </si>
  <si>
    <t>던전즈(Rogueworld)는 오픈소스입니다.</t>
  </si>
  <si>
    <t>Hint: Night creatures</t>
  </si>
  <si>
    <t>Some creatures only appear at night.</t>
  </si>
  <si>
    <t>Некоторые существа встречаются лишь с наступлением ночи.</t>
  </si>
  <si>
    <t>몇몇 생명체들은 오직 밤에만 나타납니다.</t>
  </si>
  <si>
    <t>Hint: Resource rarity</t>
  </si>
  <si>
    <t>Higher tier resources can be found further from the starting city.</t>
  </si>
  <si>
    <t>On peut trouver des ressources de niveau plus élevées en s'éloignant de la ville de départ.</t>
  </si>
  <si>
    <t>높은 등급의 자원은 시작 도시에서 멀리 떨어질 수록 자주 등장합니다.</t>
  </si>
  <si>
    <t>Hint: Dungeon portals</t>
  </si>
  <si>
    <t>Dungeon portals are spread throughout the world. Each one leads to a different challenge.</t>
  </si>
  <si>
    <t>Des portails de Donjon sont répartis dans le monde. Chaque portail mène à un défi différent.</t>
  </si>
  <si>
    <t>전 세계에 퍼진 던전 포탈들은 각기 다른 챌린지로 이동 할 수 있습니다.</t>
  </si>
  <si>
    <t>Hint: Overworld bosses</t>
  </si>
  <si>
    <t>Sometimes bosses can be found on the overworld.</t>
  </si>
  <si>
    <t>Parfois, des boss apparaissent dans le monde.</t>
  </si>
  <si>
    <t>가끔 보스들을 오버월드에서 찾을 수 있습니다.</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</si>
  <si>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</si>
  <si>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</si>
  <si>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</si>
  <si>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</si>
  <si>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</si>
  <si>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leurs qualités ou leurs durabilités augmentés.</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</si>
  <si>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</si>
  <si>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</si>
  <si>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</si>
  <si>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</si>
  <si>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</si>
  <si>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</si>
  <si>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</si>
  <si>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champignons bleus se trouvent à côté de points d'eau.</t>
  </si>
  <si>
    <t>Hint: Redcaps location</t>
  </si>
  <si>
    <t>Redcaps can be found in caves.</t>
  </si>
  <si>
    <t>Les champignons rouges se trouvent dans des grottes.</t>
  </si>
  <si>
    <t>Hint: Shared glory</t>
  </si>
  <si>
    <t>When a creature is killed, everybody nearby receives glory and task progress as if they killed it alone.</t>
  </si>
  <si>
    <t>Lorsqu'une créature est tuée, tout le monde à proximité reçoit la gloire et les progrès de la tâche comme s'il l'avait tué seul.</t>
  </si>
  <si>
    <t>Buy</t>
  </si>
  <si>
    <t>Acheter</t>
  </si>
  <si>
    <t>Accept</t>
  </si>
  <si>
    <t>Accepter</t>
  </si>
  <si>
    <t>Show</t>
  </si>
  <si>
    <t>Montrer</t>
  </si>
  <si>
    <t>Wikia tooltip</t>
  </si>
  <si>
    <t>Learn more about the game on the Wiki</t>
  </si>
  <si>
    <t>Apprenez en plus sur le jeu en allant sur le wiki</t>
  </si>
  <si>
    <t>Discord tooltip</t>
  </si>
  <si>
    <t>Chat with other players on Discord</t>
  </si>
  <si>
    <t>Discutez avec d'autres joueurs sur Discord</t>
  </si>
  <si>
    <t>Invalid command warning</t>
  </si>
  <si>
    <t>~ Invalid command ~
Type / followed by r, g, b, or y
to change chat colour.</t>
  </si>
  <si>
    <t>~ Commande invalide ~
Tapez / suivi de r, g, b, ou y changer la couleur du chat.</t>
  </si>
  <si>
    <t>Glory tooltip</t>
  </si>
  <si>
    <t>Glory: Your score, used to enter harder dungeons. You get glory from doing most things, such as completing quests, killing monsters and other players, gathering, crafting, and clearing dungeons.</t>
  </si>
  <si>
    <r>
      <rPr/>
      <t xml:space="preserve">Gloire: Votre score, utilisé pour entrer </t>
    </r>
    <r>
      <rPr>
        <color rgb="FFFF9900"/>
      </rPr>
      <t xml:space="preserve">dans </t>
    </r>
    <r>
      <rPr/>
      <t>des donjons plus difficiles. Vous obtenez de la gloire en faisant la plupart des choses, comme compléter des quêtes, tuer des monstres ou d'autres joueurs, récolter des matériaux, fabriquer des objets et compléter des donjons.</t>
    </r>
  </si>
  <si>
    <t>Defence tooltip</t>
  </si>
  <si>
    <t>Defence: Reduces the amount of damage you take. Increase your defence points by using certain clothing items, potions, and enchantments.</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</si>
  <si>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</si>
  <si>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</si>
  <si>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</si>
  <si>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</si>
  <si>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</si>
  <si>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</si>
  <si>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</si>
  <si>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</si>
  <si>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fenêtre de discussion doit rester ouverte après l'envoi d'un message.</t>
  </si>
  <si>
    <t>Clan tooltip</t>
  </si>
  <si>
    <t>Clan</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</si>
  <si>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</si>
  <si>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</si>
  <si>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</si>
  <si>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</si>
  <si>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Inventory tooltip</t>
  </si>
  <si>
    <t>Inventory</t>
  </si>
  <si>
    <t>Combat tooltip</t>
  </si>
  <si>
    <t>Combat: You will lose your items if you close the game while in combat.</t>
  </si>
  <si>
    <t>Account tooltip</t>
  </si>
  <si>
    <t>Account: Set a username and password for this character to save your progress.</t>
  </si>
  <si>
    <t>Compte: définissez un nom d'utilisateur et un mot de passe pour ce caractère pour enregistrer votre progression .</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</si>
  <si>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</si>
  <si>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</si>
  <si>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</si>
  <si>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</si>
  <si>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</si>
  <si>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</si>
  <si>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</si>
  <si>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</si>
  <si>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</si>
  <si>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</si>
  <si>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</si>
  <si>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</si>
  <si>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</si>
  <si>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</si>
  <si>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</si>
  <si>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</si>
  <si>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</si>
  <si>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</si>
  <si>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</si>
  <si>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</si>
  <si>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</si>
  <si>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</si>
  <si>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</si>
  <si>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</si>
  <si>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</si>
  <si>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</si>
  <si>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</si>
  <si>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</si>
  <si>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</si>
  <si>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</si>
  <si>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</si>
  <si>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</si>
  <si>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</si>
  <si>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</si>
  <si>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</si>
  <si>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</si>
  <si>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</si>
  <si>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</si>
  <si>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</si>
  <si>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</si>
  <si>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</si>
  <si>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</si>
  <si>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</si>
  <si>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</si>
  <si>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</si>
  <si>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</si>
  <si>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</si>
  <si>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</si>
  <si>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</si>
  <si>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</si>
  <si>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</si>
  <si>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</si>
  <si>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</si>
  <si>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</si>
  <si>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</si>
  <si>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</si>
  <si>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</si>
  <si>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</si>
  <si>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</si>
  <si>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</si>
  <si>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</si>
  <si>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</si>
  <si>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</si>
  <si>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</si>
  <si>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Création de lingots de fer</t>
  </si>
  <si>
    <t>Hint panel: Crafting weapons</t>
  </si>
  <si>
    <t>Crafting weapons</t>
  </si>
  <si>
    <t>Création d'armes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</si>
  <si>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</si>
  <si>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</si>
  <si>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</si>
  <si>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</si>
  <si>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</si>
  <si>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</si>
  <si>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</si>
  <si>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</si>
  <si>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</si>
  <si>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</si>
  <si>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</si>
  <si>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</si>
  <si>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</si>
  <si>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</si>
  <si>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</si>
  <si>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Délai d'action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</si>
  <si>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</si>
  <si>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</si>
  <si>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</si>
  <si>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</si>
  <si>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</si>
  <si>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</si>
  <si>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</si>
  <si>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</si>
  <si>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</si>
  <si>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</si>
  <si>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</si>
  <si>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</si>
  <si>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</si>
  <si>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</si>
  <si>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Pas assez de gloire</t>
  </si>
  <si>
    <t>Storage</t>
  </si>
  <si>
    <t>Storage weight</t>
  </si>
  <si>
    <t>Total storage weight</t>
  </si>
  <si>
    <t>Capacité de stockage</t>
  </si>
  <si>
    <t>Empty storage</t>
  </si>
  <si>
    <t>Storage is empty.</t>
  </si>
  <si>
    <t>Deposit</t>
  </si>
  <si>
    <t>Déposer</t>
  </si>
  <si>
    <t>Deposit entire stack</t>
  </si>
  <si>
    <t>Withdraw</t>
  </si>
  <si>
    <t>Withdraw entire stack</t>
  </si>
  <si>
    <t>Withdraw all</t>
  </si>
  <si>
    <t>Retirer tout</t>
  </si>
  <si>
    <t>Not enough free space</t>
  </si>
  <si>
    <t>Inventory panel: name</t>
  </si>
  <si>
    <t>Inventory weight</t>
  </si>
  <si>
    <t>Total inventory weight</t>
  </si>
  <si>
    <t>Item search</t>
  </si>
  <si>
    <t>Search</t>
  </si>
  <si>
    <t>Empty inventory</t>
  </si>
  <si>
    <t>Inventory is empty.</t>
  </si>
  <si>
    <t>Remove from hotbar</t>
  </si>
  <si>
    <t>retirer de l'accès rapide</t>
  </si>
  <si>
    <t>Hotbar full</t>
  </si>
  <si>
    <t>l'accès rapide complet</t>
  </si>
  <si>
    <t>Add to hotbar</t>
  </si>
  <si>
    <t>Ajouter à l'accès rapide</t>
  </si>
  <si>
    <t>Quick equip</t>
  </si>
  <si>
    <t>équipement</t>
  </si>
  <si>
    <t>Quick use</t>
  </si>
  <si>
    <t>Utilisation</t>
  </si>
  <si>
    <t>Drop</t>
  </si>
  <si>
    <t>Drop entire stack</t>
  </si>
  <si>
    <t>Drop all</t>
  </si>
  <si>
    <t>Déposer tout</t>
  </si>
  <si>
    <t>Weight</t>
  </si>
  <si>
    <t>Poids</t>
  </si>
  <si>
    <t>Show item details</t>
  </si>
  <si>
    <t>Afficher les détails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</si>
  <si>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</si>
  <si>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</si>
  <si>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</si>
  <si>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</si>
  <si>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</si>
  <si>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</si>
  <si>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</si>
  <si>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</si>
  <si>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</si>
  <si>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</si>
  <si>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</si>
  <si>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</si>
  <si>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</si>
  <si>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</si>
  <si>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</si>
  <si>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</si>
  <si>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</si>
  <si>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</si>
  <si>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</si>
  <si>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</si>
  <si>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</si>
  <si>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</si>
  <si>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</si>
  <si>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</si>
  <si>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</si>
  <si>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</si>
  <si>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</si>
  <si>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</si>
  <si>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</si>
  <si>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</si>
  <si>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</si>
  <si>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</si>
  <si>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</si>
  <si>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</si>
  <si>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</si>
  <si>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</si>
  <si>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</si>
  <si>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</si>
  <si>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Limite de joueurs</t>
  </si>
  <si>
    <t>Create</t>
  </si>
  <si>
    <t>Leave</t>
  </si>
  <si>
    <t>Start</t>
  </si>
  <si>
    <t>Cancel</t>
  </si>
  <si>
    <t>Party</t>
  </si>
  <si>
    <t>équipe</t>
  </si>
  <si>
    <t>Parties</t>
  </si>
  <si>
    <t>équipes</t>
  </si>
  <si>
    <t>Not enough glory warning</t>
  </si>
  <si>
    <t>Time remaining</t>
  </si>
  <si>
    <t>Temps restant</t>
  </si>
  <si>
    <t>Dungeon name: City sewers</t>
  </si>
  <si>
    <t>City sewers</t>
  </si>
  <si>
    <t>Dungeon name: Knight training arena</t>
  </si>
  <si>
    <t>Knight training arena</t>
  </si>
  <si>
    <r>
      <rPr/>
      <t xml:space="preserve">Domaine d'entrainement </t>
    </r>
    <r>
      <rPr>
        <color rgb="FFFF9900"/>
      </rPr>
      <t xml:space="preserve">du </t>
    </r>
    <r>
      <rPr/>
      <t>Chevalier</t>
    </r>
  </si>
  <si>
    <t>Dungeon name: Bandit hideout</t>
  </si>
  <si>
    <t>Bandit hideout</t>
  </si>
  <si>
    <t>Dungeon name: West pyramid</t>
  </si>
  <si>
    <t>West pyramid</t>
  </si>
  <si>
    <t>Pyramide de l'ouest</t>
  </si>
  <si>
    <t>Dungeon name: East pyramid</t>
  </si>
  <si>
    <t>East pyramid</t>
  </si>
  <si>
    <t>Pyramide de l'est</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</si>
  <si>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</si>
  <si>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</si>
  <si>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</si>
  <si>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</si>
  <si>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</si>
  <si>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</si>
  <si>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</si>
  <si>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</si>
  <si>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</si>
  <si>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des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</si>
  <si>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</si>
  <si>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</si>
  <si>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</si>
  <si>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</si>
  <si>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</si>
  <si>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</si>
  <si>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</si>
  <si>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</si>
  <si>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</si>
  <si>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</si>
  <si>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</si>
  <si>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</si>
  <si>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</si>
  <si>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</si>
  <si>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</si>
  <si>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</si>
  <si>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</si>
  <si>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</si>
  <si>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</si>
  <si>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</si>
  <si>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</si>
  <si>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</si>
  <si>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</si>
  <si>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r>
      <rPr/>
      <t xml:space="preserve"> Besoin d'une pioche pour </t>
    </r>
    <r>
      <rPr>
        <strike/>
      </rPr>
      <t>extraire</t>
    </r>
    <r>
      <rPr>
        <color rgb="FFFF9900"/>
      </rPr>
      <t xml:space="preserve"> miner</t>
    </r>
    <r>
      <rPr/>
      <t xml:space="preserve"> le minerai.</t>
    </r>
  </si>
  <si>
    <t>Pick up item</t>
  </si>
  <si>
    <t>Ramasser un objet</t>
  </si>
  <si>
    <t>Base</t>
  </si>
  <si>
    <t>Anvil</t>
  </si>
  <si>
    <t>Furnace</t>
  </si>
  <si>
    <t>Laboratory</t>
  </si>
  <si>
    <t>Workbench</t>
  </si>
  <si>
    <t>Glory altar</t>
  </si>
  <si>
    <t>Inventory full warning</t>
  </si>
  <si>
    <t>Your inventory is full.</t>
  </si>
  <si>
    <t>Drop item blocked warning</t>
  </si>
  <si>
    <t>You can't drop that item here.
There is something in the way.</t>
  </si>
  <si>
    <t>Stay</t>
  </si>
  <si>
    <t>Leave dungeon panel: title</t>
  </si>
  <si>
    <t>Leave Dungeon</t>
  </si>
  <si>
    <t>Leave dungeon panel: info</t>
  </si>
  <si>
    <t>Your stats, items, and glory will remain unchanged.</t>
  </si>
  <si>
    <t>Dungeonz.io translations</t>
  </si>
  <si>
    <t>- If a change is made to one of the already translated texts, it will be coloured light orange like the 
cell below, and may need to be updated. Change it back to normal (light green 3) when it is correct.</t>
  </si>
  <si>
    <t>Twitter: twitter.com/waywardworlds</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</si>
  <si>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</si>
  <si>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</si>
  <si>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</si>
  <si>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</si>
  <si>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</si>
  <si>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</si>
  <si>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</si>
  <si>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</si>
  <si>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</si>
  <si>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</si>
  <si>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</si>
  <si>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</si>
  <si>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</si>
  <si>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</si>
  <si>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</si>
  <si>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</si>
  <si>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</si>
  <si>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</si>
  <si>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</si>
  <si>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</si>
  <si>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</si>
  <si>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</si>
  <si>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</si>
  <si>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</si>
  <si>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</si>
  <si>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</si>
  <si>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</si>
  <si>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</si>
  <si>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</si>
  <si>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</si>
  <si>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</si>
  <si>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</si>
  <si>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</si>
  <si>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</si>
  <si>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</si>
  <si>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</si>
  <si>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</si>
  <si>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</si>
  <si>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</si>
  <si>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</si>
  <si>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</si>
  <si>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</si>
  <si>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</si>
  <si>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</si>
  <si>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</si>
  <si>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</si>
  <si>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</si>
  <si>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</si>
  <si>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</si>
  <si>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</si>
  <si>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</si>
  <si>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</si>
  <si>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</si>
  <si>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</si>
  <si>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</si>
  <si>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</si>
  <si>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</si>
  <si>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</si>
  <si>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</si>
  <si>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</si>
  <si>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</si>
  <si>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</si>
  <si>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</si>
  <si>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</si>
  <si>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</si>
  <si>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</si>
  <si>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</si>
  <si>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</si>
  <si>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</si>
  <si>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</si>
  <si>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</si>
  <si>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</si>
  <si>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</si>
  <si>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</si>
  <si>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</si>
  <si>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</si>
  <si>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</si>
  <si>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</si>
  <si>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</si>
  <si>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</si>
  <si>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</si>
  <si>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</si>
  <si>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</si>
  <si>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</si>
  <si>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</si>
  <si>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</si>
  <si>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</si>
  <si>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</si>
  <si>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</si>
  <si>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</si>
  <si>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</si>
  <si>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</si>
  <si>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</si>
  <si>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</si>
  <si>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</si>
  <si>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</si>
  <si>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</si>
  <si>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</si>
  <si>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</si>
  <si>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</si>
  <si>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</si>
  <si>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</si>
  <si>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</si>
  <si>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</si>
  <si>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</si>
  <si>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</si>
  <si>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</si>
  <si>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</si>
  <si>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</si>
  <si>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</si>
  <si>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</si>
  <si>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</si>
  <si>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</si>
  <si>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</si>
  <si>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</si>
  <si>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</si>
  <si>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</si>
  <si>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</si>
  <si>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</si>
  <si>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</si>
  <si>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</si>
  <si>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</si>
  <si>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</si>
  <si>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</si>
  <si>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</si>
  <si>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</si>
  <si>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</si>
  <si>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</si>
  <si>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</si>
  <si>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</si>
  <si>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</si>
  <si>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</si>
  <si>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</si>
  <si>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</si>
  <si>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</si>
  <si>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</si>
  <si>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</si>
  <si>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</si>
  <si>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</si>
  <si>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</si>
  <si>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</si>
  <si>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</si>
  <si>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</si>
  <si>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</si>
  <si>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</si>
  <si>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</si>
  <si>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</si>
  <si>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</si>
  <si>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</si>
  <si>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</si>
  <si>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</si>
  <si>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</si>
  <si>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</si>
  <si>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</si>
  <si>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</si>
  <si>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</si>
  <si>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</si>
  <si>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</si>
  <si>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</si>
  <si>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</si>
  <si>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</si>
  <si>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</si>
  <si>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</si>
  <si>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</si>
  <si>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</si>
  <si>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</si>
  <si>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</si>
  <si>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</si>
  <si>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</si>
  <si>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</si>
  <si>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</si>
  <si>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</si>
  <si>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</si>
  <si>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</si>
  <si>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</si>
  <si>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</si>
  <si>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</si>
  <si>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</si>
  <si>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</si>
  <si>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</si>
  <si>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</si>
  <si>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</si>
  <si>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</si>
  <si>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</si>
  <si>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</si>
  <si>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</si>
  <si>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</si>
  <si>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</si>
  <si>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</si>
  <si>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</si>
  <si>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</si>
  <si>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</si>
  <si>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</si>
  <si>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</si>
  <si>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</si>
  <si>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</si>
  <si>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</si>
  <si>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</si>
  <si>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</si>
  <si>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</si>
  <si>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</si>
  <si>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</si>
  <si>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</si>
  <si>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</si>
  <si>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</si>
  <si>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</si>
  <si>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</si>
  <si>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</si>
  <si>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</si>
  <si>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</si>
  <si>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</si>
  <si>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</si>
  <si>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</si>
  <si>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</si>
  <si>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</si>
  <si>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</si>
  <si>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</si>
  <si>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</si>
  <si>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</si>
  <si>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</si>
  <si>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</si>
  <si>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</si>
  <si>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</si>
  <si>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</si>
  <si>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</si>
  <si>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</si>
  <si>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</si>
  <si>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</si>
  <si>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</si>
  <si>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</si>
  <si>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</si>
  <si>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</si>
  <si>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</si>
  <si>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</si>
  <si>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</si>
  <si>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</si>
  <si>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</si>
  <si>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</si>
  <si>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</si>
  <si>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</si>
  <si>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</si>
  <si>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</si>
  <si>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</si>
  <si>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</si>
  <si>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</si>
  <si>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</si>
  <si>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</si>
  <si>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</si>
  <si>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</si>
  <si>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</si>
  <si>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</si>
  <si>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</si>
  <si>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</si>
  <si>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</si>
  <si>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</si>
  <si>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</si>
  <si>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</si>
  <si>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</si>
  <si>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</si>
  <si>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</si>
  <si>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</si>
  <si>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</si>
  <si>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</si>
  <si>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</si>
  <si>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</si>
  <si>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</si>
  <si>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</si>
  <si>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</si>
  <si>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</si>
  <si>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</si>
  <si>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</si>
  <si>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</si>
  <si>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</si>
  <si>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</si>
  <si>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</si>
  <si>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</si>
  <si>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</si>
  <si>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</si>
  <si>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</si>
  <si>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</si>
  <si>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</si>
  <si>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</si>
  <si>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</si>
  <si>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</si>
  <si>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</si>
  <si>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</si>
  <si>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</si>
  <si>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</si>
  <si>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</si>
  <si>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</si>
  <si>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</si>
  <si>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</si>
  <si>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</si>
  <si>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</si>
  <si>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</si>
  <si>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</si>
  <si>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</si>
  <si>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</si>
  <si>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</si>
  <si>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</si>
  <si>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</si>
  <si>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</si>
  <si>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Ice arrows</t>
  </si>
  <si>
    <t>Ice arrows</t>
  </si>
  <si>
    <t>Item description: Ice arrows</t>
  </si>
  <si>
    <t>Used as ammunition for a bow. Applies chill when it hits.</t>
  </si>
  <si>
    <t>Item name: Poison arrows</t>
  </si>
  <si>
    <t>Poison arrows</t>
  </si>
  <si>
    <t>Item description: Poison arrows</t>
  </si>
  <si>
    <t>Used as ammunition for a bow. Applies poison when it hits.</t>
  </si>
  <si>
    <t>Item name: Explosive arrows</t>
  </si>
  <si>
    <t>Explosive arrows</t>
  </si>
  <si>
    <t>Item description: Explosive arrows</t>
  </si>
  <si>
    <t>Used as ammunition for a bow. Deals damage and burns in an area when it hits.</t>
  </si>
  <si>
    <t>Item name: Shuriken</t>
  </si>
  <si>
    <t>Shuriken</t>
  </si>
  <si>
    <t>Item description: Shuriken</t>
  </si>
  <si>
    <t>A fast moving medium ranged weapon.</t>
  </si>
  <si>
    <t>Item name: Bomb</t>
  </si>
  <si>
    <t>Bomb</t>
  </si>
  <si>
    <t>Item description: Bomb</t>
  </si>
  <si>
    <t>Creates an explosion that damages and burns anything nearby after a short delay.</t>
  </si>
  <si>
    <t>Item name: Trap</t>
  </si>
  <si>
    <t>Trap</t>
  </si>
  <si>
    <t>Item description: Trap</t>
  </si>
  <si>
    <t>Damages anything that steps on it.</t>
  </si>
  <si>
    <t>Item name: Ice shard</t>
  </si>
  <si>
    <t>Ice shard</t>
  </si>
  <si>
    <t>Item description: Ice shard</t>
  </si>
  <si>
    <t>A chunk of ice. Used to craft items with a chill effect.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</si>
  <si>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</si>
  <si>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</si>
  <si>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</si>
  <si>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</si>
  <si>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</si>
  <si>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</si>
  <si>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</si>
  <si>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</si>
  <si>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</si>
  <si>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</si>
  <si>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</si>
  <si>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</si>
  <si>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</si>
  <si>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</si>
  <si>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</si>
  <si>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</si>
  <si>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</si>
  <si>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</si>
  <si>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</si>
  <si>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</si>
  <si>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</si>
  <si>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</si>
  <si>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</si>
  <si>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</si>
  <si>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</si>
  <si>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</si>
  <si>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</si>
  <si>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</si>
  <si>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</si>
  <si>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</si>
  <si>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</si>
  <si>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</si>
  <si>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</si>
  <si>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</si>
  <si>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</si>
  <si>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</si>
  <si>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</si>
  <si>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</si>
  <si>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</si>
  <si>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</si>
  <si>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</si>
  <si>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</si>
  <si>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</si>
  <si>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</si>
  <si>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</si>
  <si>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</si>
  <si>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</si>
  <si>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</si>
  <si>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</si>
  <si>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</si>
  <si>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</si>
  <si>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</si>
  <si>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</si>
  <si>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</si>
  <si>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</si>
  <si>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</si>
  <si>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</si>
  <si>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</si>
  <si>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</si>
  <si>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</si>
  <si>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</si>
  <si>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</si>
  <si>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</si>
  <si>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</si>
  <si>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</si>
  <si>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</si>
  <si>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</si>
  <si>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</si>
  <si>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</si>
  <si>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</si>
  <si>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</si>
  <si>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</si>
  <si>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</si>
  <si>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</si>
  <si>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</si>
  <si>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</si>
  <si>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</si>
  <si>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</si>
  <si>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</si>
  <si>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</si>
  <si>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</si>
  <si>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</si>
  <si>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</si>
  <si>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</si>
  <si>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</si>
  <si>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</si>
  <si>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</si>
  <si>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</si>
  <si>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</si>
  <si>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</si>
  <si>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</si>
  <si>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</si>
  <si>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</si>
  <si>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</si>
  <si>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</si>
  <si>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</si>
  <si>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</si>
  <si>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</si>
  <si>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</si>
  <si>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</si>
  <si>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</si>
  <si>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</si>
  <si>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</si>
  <si>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</si>
  <si>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</si>
  <si>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</si>
  <si>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</si>
  <si>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</si>
  <si>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</si>
  <si>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</si>
  <si>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</si>
  <si>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</si>
  <si>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</si>
  <si>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</si>
  <si>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</si>
  <si>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</si>
  <si>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</si>
  <si>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</si>
  <si>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</si>
  <si>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</si>
  <si>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</si>
  <si>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</si>
  <si>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</si>
  <si>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</si>
  <si>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</si>
  <si>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</si>
  <si>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</si>
  <si>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</si>
  <si>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</si>
  <si>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</si>
  <si>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</si>
  <si>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</si>
  <si>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</si>
  <si>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</si>
  <si>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</si>
  <si>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</si>
  <si>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</si>
  <si>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</si>
  <si>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</si>
  <si>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</si>
  <si>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</si>
  <si>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</si>
  <si>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</si>
  <si>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</si>
  <si>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</si>
  <si>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</si>
  <si>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</si>
  <si>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</si>
  <si>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</si>
  <si>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</si>
  <si>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</si>
  <si>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</si>
  <si>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</si>
  <si>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</si>
  <si>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</si>
  <si>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</si>
  <si>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</si>
  <si>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</si>
  <si>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</si>
  <si>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</si>
  <si>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</si>
  <si>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</si>
  <si>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</si>
  <si>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</si>
  <si>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</si>
  <si>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</si>
  <si>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</si>
  <si>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</si>
  <si>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</si>
  <si>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</si>
  <si>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</si>
  <si>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</si>
  <si>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</si>
  <si>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</si>
  <si>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</si>
  <si>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</si>
  <si>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</si>
  <si>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</si>
  <si>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</si>
  <si>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</si>
  <si>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</si>
  <si>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</si>
  <si>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</si>
  <si>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</si>
  <si>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</si>
  <si>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</si>
  <si>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Item name: Ill Omen</t>
  </si>
  <si>
    <t>Ill Omen</t>
  </si>
  <si>
    <t>Item description: Ill Omen</t>
  </si>
  <si>
    <t>Relic. A cursed bow that brings misfortune to those it is aimed at. Inflicts a curse when it hits that deals damage after a delay.</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</si>
  <si>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</si>
  <si>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</si>
  <si>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</si>
  <si>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</si>
  <si>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</si>
  <si>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</si>
  <si>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</si>
  <si>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</si>
  <si>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</si>
  <si>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</si>
  <si>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</si>
  <si>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</si>
  <si>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</si>
  <si>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</si>
  <si>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</si>
  <si>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</si>
  <si>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</si>
  <si>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</si>
  <si>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</si>
  <si>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</si>
  <si>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</si>
  <si>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</si>
  <si>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</si>
  <si>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</si>
  <si>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</si>
  <si>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</si>
  <si>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</si>
  <si>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</si>
  <si>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</si>
  <si>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</si>
  <si>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</si>
  <si>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</si>
  <si>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</si>
  <si>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</si>
  <si>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</si>
  <si>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</si>
  <si>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</si>
  <si>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</si>
  <si>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</si>
  <si>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</si>
  <si>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</si>
  <si>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</si>
  <si>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</si>
  <si>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</si>
  <si>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</si>
  <si>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</si>
  <si>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</si>
  <si>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</si>
  <si>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</si>
  <si>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</si>
  <si>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</si>
  <si>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</si>
  <si>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</si>
  <si>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</si>
  <si>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</si>
  <si>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</si>
  <si>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</si>
  <si>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</si>
  <si>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</si>
  <si>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</si>
  <si>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</si>
  <si>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</si>
  <si>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</si>
  <si>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</si>
  <si>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</si>
  <si>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</si>
  <si>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</si>
  <si>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</si>
  <si>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</si>
  <si>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</si>
  <si>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</si>
  <si>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</si>
  <si>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</si>
  <si>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</si>
  <si>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</si>
  <si>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</si>
  <si>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</si>
  <si>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</si>
  <si>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</si>
  <si>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</si>
  <si>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</si>
  <si>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</si>
  <si>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</si>
  <si>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</si>
  <si>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</si>
  <si>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</si>
  <si>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</si>
  <si>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</si>
  <si>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</si>
  <si>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</si>
  <si>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</si>
  <si>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</si>
  <si>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</si>
  <si>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</si>
  <si>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</si>
  <si>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</si>
  <si>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</si>
  <si>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</si>
  <si>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</si>
  <si>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</si>
  <si>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</si>
  <si>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</si>
  <si>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</si>
  <si>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</si>
  <si>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</si>
  <si>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Iron golem</t>
  </si>
  <si>
    <t>Iron golem</t>
  </si>
  <si>
    <t>Mob name: Dungium golem</t>
  </si>
  <si>
    <t>Dungium golem</t>
  </si>
  <si>
    <t>Mob name: Agonite golem</t>
  </si>
  <si>
    <t>Agonite golem</t>
  </si>
  <si>
    <t>Mob name: Noctis golem</t>
  </si>
  <si>
    <t>Noctis golem</t>
  </si>
  <si>
    <t>Mob name: Adumbral</t>
  </si>
  <si>
    <t>Adumbral</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</si>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</sst>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2">
    <font>
      <sz val="10.0"/>
      <color rgb="FF000000"/>
      <name val="Arial"/>
    </font>
    <font/>
    <font>
      <b/>
    </font>
    <font>
      <b/>
      <u/>
      <sz val="14.0"/>
      <color rgb="FFFFFFFF"/>
    </font>
    <font>
      <b/>
      <color rgb="FFFFFFFF"/>
    </font>
    <font>
      <i/>
      <sz val="9.0"/>
      <color rgb="FF000000"/>
      <name val="Arial"/>
    </font>
    <font>
      <b/>
      <sz val="10.0"/>
      <color rgb="FFFFFFFF"/>
      <name val="Arial"/>
    </font>
    <font>
      <color rgb="FF999999"/>
    </font>
    <font>
      <color rgb="FF999999"/>
      <name val="Arial"/>
    </font>
    <font>
      <color rgb="FFFF9900"/>
    </font>
    <font>
      <b/>
      <sz val="14.0"/>
      <color rgb="FFFFFFFF"/>
    </font>
    <font>
      <name val="Arial"/>
    </font>
  </fonts>
  <fills count="7">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
      <patternFill patternType="solid">
        <fgColor rgb="FFB6D7A8"/>
        <bgColor rgb="FFB6D7A8"/>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164" xfId="0" applyBorder="1" applyFont="1" applyNumberFormat="1"/>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0" fontId="1" numFmtId="0" xfId="0" applyAlignment="1" applyFont="1">
      <alignment shrinkToFit="0" vertical="top" wrapText="1"/>
    </xf>
    <xf borderId="1" fillId="6" fontId="1" numFmtId="0" xfId="0" applyAlignment="1" applyBorder="1" applyFill="1" applyFont="1">
      <alignment readingOrder="0" shrinkToFit="0" vertical="top" wrapText="1"/>
    </xf>
    <xf borderId="0" fillId="2" fontId="8" numFmtId="0" xfId="0" applyAlignment="1" applyFont="1">
      <alignment horizontal="left" readingOrder="0" shrinkToFit="0" vertical="top" wrapText="1"/>
    </xf>
    <xf borderId="1" fillId="3" fontId="1" numFmtId="0" xfId="0" applyAlignment="1" applyBorder="1" applyFont="1">
      <alignmen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1" fillId="5" fontId="9" numFmtId="0" xfId="0" applyAlignment="1" applyBorder="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0" fillId="2" fontId="10" numFmtId="0" xfId="0" applyAlignment="1" applyFont="1">
      <alignment horizontal="center" readingOrder="0" shrinkToFit="0" wrapText="0"/>
    </xf>
    <xf borderId="0" fillId="2" fontId="4" numFmtId="0" xfId="0" applyAlignment="1" applyFont="1">
      <alignment readingOrder="0" shrinkToFit="0" wrapText="1"/>
    </xf>
    <xf borderId="0" fillId="5" fontId="1" numFmtId="0" xfId="0" applyAlignment="1" applyFont="1">
      <alignment readingOrder="0" shrinkToFit="0" vertical="top"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3" fillId="4" fontId="11" numFmtId="0" xfId="0" applyAlignment="1" applyBorder="1" applyFont="1">
      <alignment readingOrder="0" shrinkToFit="0" vertical="top" wrapText="1"/>
    </xf>
    <xf borderId="0" fillId="5" fontId="1"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rogueworld.i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 customWidth="1" min="13" max="13" width="16.88"/>
  </cols>
  <sheetData>
    <row r="1">
      <c r="A1" s="1"/>
      <c r="B1" s="2"/>
      <c r="C1" s="1"/>
      <c r="D1" s="3" t="s">
        <v>0</v>
      </c>
      <c r="E1" s="1"/>
      <c r="F1" s="1"/>
      <c r="G1" s="1"/>
      <c r="H1" s="4"/>
      <c r="I1" s="1"/>
      <c r="J1" s="5"/>
      <c r="K1" s="5"/>
      <c r="L1" s="1"/>
      <c r="M1" s="1"/>
      <c r="N1" s="6"/>
      <c r="O1" s="6"/>
      <c r="P1" s="6"/>
      <c r="Q1" s="6"/>
      <c r="R1" s="6"/>
      <c r="S1" s="6"/>
      <c r="T1" s="6"/>
      <c r="U1" s="6"/>
      <c r="V1" s="6"/>
      <c r="W1" s="6"/>
      <c r="X1" s="6"/>
      <c r="Y1" s="6"/>
      <c r="Z1" s="6"/>
      <c r="AA1" s="6"/>
      <c r="AB1" s="6"/>
    </row>
    <row r="2">
      <c r="A2" s="1"/>
      <c r="B2" s="7"/>
      <c r="C2" s="1"/>
      <c r="D2" s="8" t="s">
        <v>1</v>
      </c>
      <c r="E2" s="1"/>
      <c r="F2" s="1"/>
      <c r="G2" s="1"/>
      <c r="H2" s="4"/>
      <c r="I2" s="1"/>
      <c r="J2" s="9" t="s">
        <v>2</v>
      </c>
      <c r="K2" s="5"/>
      <c r="L2" s="1"/>
      <c r="M2" s="1"/>
      <c r="N2" s="6"/>
      <c r="O2" s="6"/>
      <c r="P2" s="6"/>
      <c r="Q2" s="6"/>
      <c r="R2" s="6"/>
      <c r="S2" s="6"/>
      <c r="T2" s="6"/>
      <c r="U2" s="6"/>
      <c r="V2" s="6"/>
      <c r="W2" s="6"/>
      <c r="X2" s="6"/>
      <c r="Y2" s="6"/>
      <c r="Z2" s="6"/>
      <c r="AA2" s="6"/>
      <c r="AB2" s="6"/>
    </row>
    <row r="3">
      <c r="A3" s="1"/>
      <c r="B3" s="1"/>
      <c r="C3" s="1"/>
      <c r="D3" s="8" t="s">
        <v>3</v>
      </c>
      <c r="E3" s="1"/>
      <c r="F3" s="1"/>
      <c r="G3" s="1"/>
      <c r="H3" s="4"/>
      <c r="I3" s="1"/>
      <c r="J3" s="9" t="s">
        <v>4</v>
      </c>
      <c r="K3" s="5"/>
      <c r="L3" s="1"/>
      <c r="M3" s="1"/>
      <c r="N3" s="6"/>
      <c r="O3" s="6"/>
      <c r="P3" s="6"/>
      <c r="Q3" s="6"/>
      <c r="R3" s="6"/>
      <c r="S3" s="6"/>
      <c r="T3" s="6"/>
      <c r="U3" s="6"/>
      <c r="V3" s="6"/>
      <c r="W3" s="6"/>
      <c r="X3" s="6"/>
      <c r="Y3" s="6"/>
      <c r="Z3" s="6"/>
      <c r="AA3" s="6"/>
      <c r="AB3" s="6"/>
    </row>
    <row r="4">
      <c r="A4" s="1"/>
      <c r="B4" s="10"/>
      <c r="C4" s="10"/>
      <c r="D4" s="8" t="s">
        <v>5</v>
      </c>
      <c r="E4" s="11"/>
      <c r="F4" s="10"/>
      <c r="G4" s="12"/>
      <c r="H4" s="13"/>
      <c r="I4" s="1"/>
      <c r="J4" s="9"/>
      <c r="K4" s="5"/>
      <c r="L4" s="1"/>
      <c r="M4" s="1"/>
      <c r="N4" s="6"/>
      <c r="O4" s="6"/>
      <c r="P4" s="6"/>
      <c r="Q4" s="6"/>
      <c r="R4" s="6"/>
      <c r="S4" s="6"/>
      <c r="T4" s="6"/>
      <c r="U4" s="6"/>
      <c r="V4" s="6"/>
      <c r="W4" s="6"/>
      <c r="X4" s="6"/>
      <c r="Y4" s="6"/>
      <c r="Z4" s="6"/>
      <c r="AA4" s="6"/>
      <c r="AB4" s="6"/>
    </row>
    <row r="5">
      <c r="A5" s="1"/>
      <c r="B5" s="10"/>
      <c r="C5" s="14"/>
      <c r="D5" s="15" t="s">
        <v>6</v>
      </c>
      <c r="E5" s="16"/>
      <c r="F5" s="10"/>
      <c r="G5" s="12"/>
      <c r="H5" s="13"/>
      <c r="I5" s="1"/>
      <c r="J5" s="9" t="s">
        <v>7</v>
      </c>
      <c r="K5" s="5"/>
      <c r="L5" s="1"/>
      <c r="M5" s="1"/>
      <c r="N5" s="6"/>
      <c r="O5" s="6"/>
      <c r="P5" s="6"/>
      <c r="Q5" s="6"/>
      <c r="R5" s="6"/>
      <c r="S5" s="6"/>
      <c r="T5" s="6"/>
      <c r="U5" s="6"/>
      <c r="V5" s="6"/>
      <c r="W5" s="6"/>
      <c r="X5" s="6"/>
      <c r="Y5" s="6"/>
      <c r="Z5" s="6"/>
      <c r="AA5" s="6"/>
      <c r="AB5" s="6"/>
    </row>
    <row r="6">
      <c r="A6" s="1"/>
      <c r="B6" s="10"/>
      <c r="C6" s="10"/>
      <c r="D6" s="10"/>
      <c r="E6" s="12"/>
      <c r="F6" s="10"/>
      <c r="G6" s="12"/>
      <c r="H6" s="13"/>
      <c r="I6" s="1"/>
      <c r="J6" s="9"/>
      <c r="K6" s="5"/>
      <c r="L6" s="1"/>
      <c r="M6" s="1"/>
      <c r="N6" s="6"/>
      <c r="O6" s="6"/>
      <c r="P6" s="6"/>
      <c r="Q6" s="6"/>
      <c r="R6" s="6"/>
      <c r="S6" s="6"/>
      <c r="T6" s="6"/>
      <c r="U6" s="6"/>
      <c r="V6" s="6"/>
      <c r="W6" s="6"/>
      <c r="X6" s="6"/>
      <c r="Y6" s="6"/>
      <c r="Z6" s="6"/>
      <c r="AA6" s="6"/>
      <c r="AB6" s="6"/>
    </row>
    <row r="7">
      <c r="A7" s="17"/>
      <c r="B7" s="18"/>
      <c r="C7" s="18"/>
      <c r="D7" s="18"/>
      <c r="E7" s="18"/>
      <c r="F7" s="18"/>
      <c r="G7" s="18"/>
      <c r="H7" s="18"/>
      <c r="I7" s="1"/>
      <c r="J7" s="5"/>
      <c r="K7" s="5"/>
      <c r="L7" s="1"/>
      <c r="M7" s="1"/>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7" t="s">
        <v>19</v>
      </c>
      <c r="M8" s="7" t="s">
        <v>20</v>
      </c>
      <c r="N8" s="20"/>
      <c r="O8" s="20"/>
      <c r="P8" s="20"/>
      <c r="Q8" s="20"/>
      <c r="R8" s="20"/>
      <c r="S8" s="20"/>
      <c r="T8" s="20"/>
      <c r="U8" s="20"/>
      <c r="V8" s="20"/>
      <c r="W8" s="20"/>
      <c r="X8" s="20"/>
      <c r="Y8" s="20"/>
      <c r="Z8" s="20"/>
      <c r="AA8" s="20"/>
      <c r="AB8" s="20"/>
    </row>
    <row r="9">
      <c r="A9" s="21" t="s">
        <v>21</v>
      </c>
      <c r="B9" s="22" t="s">
        <v>9</v>
      </c>
      <c r="C9" s="23" t="s">
        <v>22</v>
      </c>
      <c r="D9" s="23" t="s">
        <v>23</v>
      </c>
      <c r="E9" s="23" t="s">
        <v>24</v>
      </c>
      <c r="F9" s="23" t="s">
        <v>25</v>
      </c>
      <c r="G9" s="23" t="s">
        <v>26</v>
      </c>
      <c r="H9" s="24" t="s">
        <v>27</v>
      </c>
      <c r="I9" s="23" t="s">
        <v>28</v>
      </c>
      <c r="J9" s="25" t="s">
        <v>29</v>
      </c>
      <c r="K9" s="25" t="s">
        <v>30</v>
      </c>
      <c r="L9" s="23" t="s">
        <v>31</v>
      </c>
      <c r="M9" s="23" t="s">
        <v>32</v>
      </c>
      <c r="N9" s="26"/>
      <c r="O9" s="26"/>
      <c r="P9" s="26"/>
      <c r="Q9" s="26"/>
      <c r="R9" s="26"/>
      <c r="S9" s="26"/>
      <c r="T9" s="26"/>
      <c r="U9" s="26"/>
      <c r="V9" s="26"/>
      <c r="W9" s="26"/>
      <c r="X9" s="26"/>
      <c r="Y9" s="26"/>
      <c r="Z9" s="26"/>
      <c r="AA9" s="26"/>
      <c r="AB9" s="26"/>
    </row>
    <row r="10">
      <c r="A10" s="21" t="s">
        <v>33</v>
      </c>
      <c r="B10" s="22" t="s">
        <v>33</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""pt"")"),"Linguagem")</f>
        <v>Linguagem</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3" t="str">
        <f>IFERROR(__xludf.DUMMYFUNCTION("GOOGLETRANSLATE(B10, ""en"", ""hr"")"),"Jezik")</f>
        <v>Jezik</v>
      </c>
      <c r="M10" s="23" t="s">
        <v>34</v>
      </c>
      <c r="N10" s="26"/>
      <c r="O10" s="26"/>
      <c r="P10" s="26"/>
      <c r="Q10" s="26"/>
      <c r="R10" s="26"/>
      <c r="S10" s="26"/>
      <c r="T10" s="26"/>
      <c r="U10" s="26"/>
      <c r="V10" s="26"/>
      <c r="W10" s="26"/>
      <c r="X10" s="26"/>
      <c r="Y10" s="26"/>
      <c r="Z10" s="26"/>
      <c r="AA10" s="26"/>
      <c r="AB10" s="26"/>
    </row>
    <row r="11">
      <c r="A11" s="21" t="s">
        <v>35</v>
      </c>
      <c r="B11" s="22" t="s">
        <v>36</v>
      </c>
      <c r="C11" s="23" t="str">
        <f>IFERROR(__xludf.DUMMYFUNCTION("GOOGLETRANSLATE(B11, ""en"", ""fr"")"),"Ajouter une traduction")</f>
        <v>Ajouter une traduction</v>
      </c>
      <c r="D11" s="23" t="str">
        <f>IFERROR(__xludf.DUMMYFUNCTION("GOOGLETRANSLATE(B11, ""en"", ""es"")"),"Agregar una traducción")</f>
        <v>Agregar una traducción</v>
      </c>
      <c r="E11" s="23" t="str">
        <f>IFERROR(__xludf.DUMMYFUNCTION("GOOGLETRANSLATE(B11, ""en"", ""ru"")"),"Добавьте перевод")</f>
        <v>Добавьте перевод</v>
      </c>
      <c r="F11" s="23" t="str">
        <f>IFERROR(__xludf.DUMMYFUNCTION("GOOGLETRANSLATE(B11, ""en"", ""tr"")"),"Bir çeviri ekleyin")</f>
        <v>Bir çeviri ekleyin</v>
      </c>
      <c r="G11" s="23" t="str">
        <f>IFERROR(__xludf.DUMMYFUNCTION("GOOGLETRANSLATE(B11, ""en"", ""pt"")"),"Adicione uma tradução")</f>
        <v>Adicione uma tradução</v>
      </c>
      <c r="H11" s="24" t="str">
        <f>IFERROR(__xludf.DUMMYFUNCTION("GOOGLETRANSLATE(B11, ""en"", ""de"")"),"Fügen Sie eine Übersetzung hinzu")</f>
        <v>Fügen Sie eine Übersetzung hinzu</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3" t="str">
        <f>IFERROR(__xludf.DUMMYFUNCTION("GOOGLETRANSLATE(B11, ""en"", ""hr"")"),"Dodajte prijevod")</f>
        <v>Dodajte prijevod</v>
      </c>
      <c r="M11" s="23" t="s">
        <v>37</v>
      </c>
      <c r="N11" s="26"/>
      <c r="O11" s="26"/>
      <c r="P11" s="26"/>
      <c r="Q11" s="26"/>
      <c r="R11" s="26"/>
      <c r="S11" s="26"/>
      <c r="T11" s="26"/>
      <c r="U11" s="26"/>
      <c r="V11" s="26"/>
      <c r="W11" s="26"/>
      <c r="X11" s="26"/>
      <c r="Y11" s="26"/>
      <c r="Z11" s="26"/>
      <c r="AA11" s="26"/>
      <c r="AB11" s="26"/>
    </row>
    <row r="12">
      <c r="A12" s="21" t="s">
        <v>38</v>
      </c>
      <c r="B12" s="22" t="s">
        <v>38</v>
      </c>
      <c r="C12" s="23" t="s">
        <v>39</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3" t="str">
        <f>IFERROR(__xludf.DUMMYFUNCTION("GOOGLETRANSLATE(B12, ""en"", ""hr"")"),"Vijesti")</f>
        <v>Vijesti</v>
      </c>
      <c r="M12" s="23" t="s">
        <v>40</v>
      </c>
      <c r="N12" s="26"/>
      <c r="O12" s="26"/>
      <c r="P12" s="26"/>
      <c r="Q12" s="26"/>
      <c r="R12" s="26"/>
      <c r="S12" s="26"/>
      <c r="T12" s="26"/>
      <c r="U12" s="26"/>
      <c r="V12" s="26"/>
      <c r="W12" s="26"/>
      <c r="X12" s="26"/>
      <c r="Y12" s="26"/>
      <c r="Z12" s="26"/>
      <c r="AA12" s="26"/>
      <c r="AB12" s="26"/>
    </row>
    <row r="13">
      <c r="A13" s="21" t="s">
        <v>41</v>
      </c>
      <c r="B13" s="22" t="s">
        <v>41</v>
      </c>
      <c r="C13" s="23" t="str">
        <f>IFERROR(__xludf.DUMMYFUNCTION("GOOGLETRANSLATE(B13, ""en"", ""fr"")"),"Nouveau personnage")</f>
        <v>Nouveau personnage</v>
      </c>
      <c r="D13" s="23" t="str">
        <f>IFERROR(__xludf.DUMMYFUNCTION("GOOGLETRANSLATE(B13, ""en"", ""es"")"),"Nuevo personaje")</f>
        <v>Nuevo personaje</v>
      </c>
      <c r="E13" s="23" t="s">
        <v>42</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3" t="str">
        <f>IFERROR(__xludf.DUMMYFUNCTION("GOOGLETRANSLATE(B13, ""en"", ""hr"")"),"Novi lik")</f>
        <v>Novi lik</v>
      </c>
      <c r="M13" s="23" t="s">
        <v>43</v>
      </c>
      <c r="N13" s="26"/>
      <c r="O13" s="26"/>
      <c r="P13" s="26"/>
      <c r="Q13" s="26"/>
      <c r="R13" s="26"/>
      <c r="S13" s="26"/>
      <c r="T13" s="26"/>
      <c r="U13" s="26"/>
      <c r="V13" s="26"/>
      <c r="W13" s="26"/>
      <c r="X13" s="26"/>
      <c r="Y13" s="26"/>
      <c r="Z13" s="26"/>
      <c r="AA13" s="26"/>
      <c r="AB13" s="26"/>
    </row>
    <row r="14">
      <c r="A14" s="21" t="s">
        <v>44</v>
      </c>
      <c r="B14" s="22" t="s">
        <v>44</v>
      </c>
      <c r="C14" s="23" t="str">
        <f>IFERROR(__xludf.DUMMYFUNCTION("GOOGLETRANSLATE(B14, ""en"", ""fr"")"),"Continuer")</f>
        <v>Continuer</v>
      </c>
      <c r="D14" s="23" t="str">
        <f>IFERROR(__xludf.DUMMYFUNCTION("GOOGLETRANSLATE(B14, ""en"", ""es"")"),"Continuar")</f>
        <v>Continuar</v>
      </c>
      <c r="E14" s="23" t="s">
        <v>45</v>
      </c>
      <c r="F14" s="23" t="str">
        <f>IFERROR(__xludf.DUMMYFUNCTION("GOOGLETRANSLATE(B14, ""en"", ""tr"")"),"Devam et")</f>
        <v>Devam et</v>
      </c>
      <c r="G14" s="23" t="str">
        <f>IFERROR(__xludf.DUMMYFUNCTION("GOOGLETRANSLATE(B14, ""en"", ""pt"")"),"Continuar")</f>
        <v>Continuar</v>
      </c>
      <c r="H14" s="24" t="str">
        <f>IFERROR(__xludf.DUMMYFUNCTION("GOOGLETRANSLATE(B14, ""en"", ""de"")"),"Fortsetzen")</f>
        <v>Fortsetzen</v>
      </c>
      <c r="I14" s="23" t="str">
        <f>IFERROR(__xludf.DUMMYFUNCTION("GOOGLETRANSLATE(B14, ""en"", ""pl"")"),"Kontynuować")</f>
        <v>Kontynuować</v>
      </c>
      <c r="J14" s="25" t="str">
        <f>IFERROR(__xludf.DUMMYFUNCTION("GOOGLETRANSLATE(B14, ""en"", ""zh"")"),"继续")</f>
        <v>继续</v>
      </c>
      <c r="K14" s="25" t="str">
        <f>IFERROR(__xludf.DUMMYFUNCTION("GOOGLETRANSLATE(B14, ""en"", ""vi"")"),"Tiếp tục")</f>
        <v>Tiếp tục</v>
      </c>
      <c r="L14" s="23" t="str">
        <f>IFERROR(__xludf.DUMMYFUNCTION("GOOGLETRANSLATE(B14, ""en"", ""hr"")"),"Nastaviti")</f>
        <v>Nastaviti</v>
      </c>
      <c r="M14" s="23" t="s">
        <v>46</v>
      </c>
      <c r="N14" s="26"/>
      <c r="O14" s="26"/>
      <c r="P14" s="26"/>
      <c r="Q14" s="26"/>
      <c r="R14" s="26"/>
      <c r="S14" s="26"/>
      <c r="T14" s="26"/>
      <c r="U14" s="26"/>
      <c r="V14" s="26"/>
      <c r="W14" s="26"/>
      <c r="X14" s="26"/>
      <c r="Y14" s="26"/>
      <c r="Z14" s="26"/>
      <c r="AA14" s="26"/>
      <c r="AB14" s="26"/>
    </row>
    <row r="15">
      <c r="A15" s="21" t="s">
        <v>47</v>
      </c>
      <c r="B15" s="22" t="s">
        <v>48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3" t="str">
        <f>IFERROR(__xludf.DUMMYFUNCTION("GOOGLETRANSLATE(B15, ""en"", ""hr"")"),"Unesite ime")</f>
        <v>Unesite ime</v>
      </c>
      <c r="M15" s="23" t="s">
        <v>49</v>
      </c>
      <c r="N15" s="26"/>
      <c r="O15" s="26"/>
      <c r="P15" s="26"/>
      <c r="Q15" s="26"/>
      <c r="R15" s="26"/>
      <c r="S15" s="26"/>
      <c r="T15" s="26"/>
      <c r="U15" s="26"/>
      <c r="V15" s="26"/>
      <c r="W15" s="26"/>
      <c r="X15" s="26"/>
      <c r="Y15" s="26"/>
      <c r="Z15" s="26"/>
      <c r="AA15" s="26"/>
      <c r="AB15" s="26"/>
    </row>
    <row r="16">
      <c r="A16" s="21" t="s">
        <v>50</v>
      </c>
      <c r="B16" s="22" t="s">
        <v>51</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de usuário")</f>
        <v>Nome de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3" t="str">
        <f>IFERROR(__xludf.DUMMYFUNCTION("GOOGLETRANSLATE(B16, ""en"", ""hr"")"),"Korisničko ime")</f>
        <v>Korisničko ime</v>
      </c>
      <c r="M16" s="23" t="s">
        <v>52</v>
      </c>
      <c r="N16" s="26"/>
      <c r="O16" s="26"/>
      <c r="P16" s="26"/>
      <c r="Q16" s="26"/>
      <c r="R16" s="26"/>
      <c r="S16" s="26"/>
      <c r="T16" s="26"/>
      <c r="U16" s="26"/>
      <c r="V16" s="26"/>
      <c r="W16" s="26"/>
      <c r="X16" s="26"/>
      <c r="Y16" s="26"/>
      <c r="Z16" s="26"/>
      <c r="AA16" s="26"/>
      <c r="AB16" s="26"/>
    </row>
    <row r="17">
      <c r="A17" s="21" t="s">
        <v>53</v>
      </c>
      <c r="B17" s="22" t="s">
        <v>54</v>
      </c>
      <c r="C17" s="23" t="str">
        <f>IFERROR(__xludf.DUMMYFUNCTION("GOOGLETRANSLATE(B17, ""en"", ""fr"")"),"Mot de passe")</f>
        <v>Mot de passe</v>
      </c>
      <c r="D17" s="23" t="str">
        <f>IFERROR(__xludf.DUMMYFUNCTION("GOOGLETRANSLATE(B17, ""en"", ""es"")"),"Clave")</f>
        <v>Clave</v>
      </c>
      <c r="E17" s="23" t="str">
        <f>IFERROR(__xludf.DUMMYFUNCTION("GOOGLETRANSLATE(B17, ""en"", ""ru"")"),"Пароль")</f>
        <v>Пароль</v>
      </c>
      <c r="F17" s="23" t="str">
        <f>IFERROR(__xludf.DUMMYFUNCTION("GOOGLETRANSLATE(B17, ""en"", ""tr"")"),"Şifre")</f>
        <v>Şifre</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3" t="str">
        <f>IFERROR(__xludf.DUMMYFUNCTION("GOOGLETRANSLATE(B17, ""en"", ""hr"")"),"Zaporka")</f>
        <v>Zaporka</v>
      </c>
      <c r="M17" s="23" t="s">
        <v>55</v>
      </c>
      <c r="N17" s="26"/>
      <c r="O17" s="26"/>
      <c r="P17" s="26"/>
      <c r="Q17" s="26"/>
      <c r="R17" s="26"/>
      <c r="S17" s="26"/>
      <c r="T17" s="26"/>
      <c r="U17" s="26"/>
      <c r="V17" s="26"/>
      <c r="W17" s="26"/>
      <c r="X17" s="26"/>
      <c r="Y17" s="26"/>
      <c r="Z17" s="26"/>
      <c r="AA17" s="26"/>
      <c r="AB17" s="26"/>
    </row>
    <row r="18">
      <c r="A18" s="21" t="s">
        <v>56</v>
      </c>
      <c r="B18" s="22" t="s">
        <v>57</v>
      </c>
      <c r="C18" s="23" t="s">
        <v>58</v>
      </c>
      <c r="D18" s="23" t="str">
        <f>IFERROR(__xludf.DUMMYFUNCTION("GOOGLETRANSLATE(B18, ""en"", ""es"")"),"Algo salió mal.
Incómodo... :/")</f>
        <v>Algo salió mal.
Incómodo... :/</v>
      </c>
      <c r="E18" s="23" t="s">
        <v>59</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""vi"")"),"Có gì đó đã sai.
Vụng về... :/")</f>
        <v>Có gì đó đã sai.
Vụng về... :/</v>
      </c>
      <c r="L18" s="23" t="str">
        <f>IFERROR(__xludf.DUMMYFUNCTION("GOOGLETRANSLATE(B18, ""en"", ""hr"")"),"Nešto je pošlo po zlu.
Nespretno ...:/")</f>
        <v>Nešto je pošlo po zlu.
Nespretno ...:/</v>
      </c>
      <c r="M18" s="23" t="s">
        <v>60</v>
      </c>
      <c r="N18" s="26"/>
      <c r="O18" s="26"/>
      <c r="P18" s="26"/>
      <c r="Q18" s="26"/>
      <c r="R18" s="26"/>
      <c r="S18" s="26"/>
      <c r="T18" s="26"/>
      <c r="U18" s="26"/>
      <c r="V18" s="26"/>
      <c r="W18" s="26"/>
      <c r="X18" s="26"/>
      <c r="Y18" s="26"/>
      <c r="Z18" s="26"/>
      <c r="AA18" s="26"/>
      <c r="AB18" s="26"/>
    </row>
    <row r="19">
      <c r="A19" s="21" t="s">
        <v>61</v>
      </c>
      <c r="B19" s="22" t="s">
        <v>62</v>
      </c>
      <c r="C19" s="23" t="s">
        <v>63</v>
      </c>
      <c r="D19" s="23" t="str">
        <f>IFERROR(__xludf.DUMMYFUNCTION("GOOGLETRANSLATE(B19, ""en"", ""es"")"),"El juego está lleno.
Wow ...: o")</f>
        <v>El juego está lleno.
Wow ...: o</v>
      </c>
      <c r="E19" s="23" t="s">
        <v>64</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đầy đủ.
Wow ...: o")</f>
        <v>Trò chơi đầy đủ.
Wow ...: o</v>
      </c>
      <c r="L19" s="23" t="str">
        <f>IFERROR(__xludf.DUMMYFUNCTION("GOOGLETRANSLATE(B19, ""en"", ""hr"")"),"Igra je puna.
Vau ...: O")</f>
        <v>Igra je puna.
Vau ...: O</v>
      </c>
      <c r="M19" s="23" t="s">
        <v>65</v>
      </c>
      <c r="N19" s="26"/>
      <c r="O19" s="26"/>
      <c r="P19" s="26"/>
      <c r="Q19" s="26"/>
      <c r="R19" s="26"/>
      <c r="S19" s="26"/>
      <c r="T19" s="26"/>
      <c r="U19" s="26"/>
      <c r="V19" s="26"/>
      <c r="W19" s="26"/>
      <c r="X19" s="26"/>
      <c r="Y19" s="26"/>
      <c r="Z19" s="26"/>
      <c r="AA19" s="26"/>
      <c r="AB19" s="26"/>
    </row>
    <row r="20">
      <c r="A20" s="21" t="s">
        <v>66</v>
      </c>
      <c r="B20" s="22" t="s">
        <v>67</v>
      </c>
      <c r="C20" s="27" t="s">
        <v>68</v>
      </c>
      <c r="D20" s="23" t="str">
        <f>IFERROR(__xludf.DUMMYFUNCTION("GOOGLETRANSLATE(B20, ""en"", ""es"")"),"No se pudo conectar al servidor de juegos.")</f>
        <v>No se pudo conectar al servidor de juegos.</v>
      </c>
      <c r="E20" s="23" t="s">
        <v>69</v>
      </c>
      <c r="F20" s="23" t="str">
        <f>IFERROR(__xludf.DUMMYFUNCTION("GOOGLETRANSLATE(B20, ""en"", ""tr"")"),"Oyun sunucusuna bağlanamadı.")</f>
        <v>Oyun sunucusuna bağlanamadı.</v>
      </c>
      <c r="G20" s="23" t="str">
        <f>IFERROR(__xludf.DUMMYFUNCTION("GOOGLETRANSLATE(B20, ""en"", ""pt"")"),"Não foi possível conectar -se ao servidor de jogo.")</f>
        <v>Não foi possível conectar -se ao servidor de jogo.</v>
      </c>
      <c r="H20" s="24" t="str">
        <f>IFERROR(__xludf.DUMMYFUNCTION("GOOGLETRANSLATE(B20, ""en"", ""de"")"),"Konnte keine Verbindung zum Game Server herstellen.")</f>
        <v>Konnte keine Verbindung zum Game 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3" t="str">
        <f>IFERROR(__xludf.DUMMYFUNCTION("GOOGLETRANSLATE(B20, ""en"", ""hr"")"),"Nije se mogao povezati s poslužiteljem igara.")</f>
        <v>Nije se mogao povezati s poslužiteljem igara.</v>
      </c>
      <c r="M20" s="23" t="s">
        <v>70</v>
      </c>
      <c r="N20" s="26"/>
      <c r="O20" s="26"/>
      <c r="P20" s="26"/>
      <c r="Q20" s="26"/>
      <c r="R20" s="26"/>
      <c r="S20" s="26"/>
      <c r="T20" s="26"/>
      <c r="U20" s="26"/>
      <c r="V20" s="26"/>
      <c r="W20" s="26"/>
      <c r="X20" s="26"/>
      <c r="Y20" s="26"/>
      <c r="Z20" s="26"/>
      <c r="AA20" s="26"/>
      <c r="AB20" s="26"/>
    </row>
    <row r="21">
      <c r="A21" s="21" t="s">
        <v>71</v>
      </c>
      <c r="B21" s="22" t="s">
        <v>71</v>
      </c>
      <c r="C21" s="23" t="s">
        <v>72</v>
      </c>
      <c r="D21" s="23" t="str">
        <f>IFERROR(__xludf.DUMMYFUNCTION("GOOGLETRANSLATE(B21, ""en"", ""es"")"),"Nombre de usuario (requerido")</f>
        <v>Nombre de usuario (requerido</v>
      </c>
      <c r="E21" s="23" t="s">
        <v>73</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3" t="str">
        <f>IFERROR(__xludf.DUMMYFUNCTION("GOOGLETRANSLATE(B21, ""en"", ""hr"")"),"Potrebno korisničko ime")</f>
        <v>Potrebno korisničko ime</v>
      </c>
      <c r="M21" s="23" t="s">
        <v>74</v>
      </c>
      <c r="N21" s="26"/>
      <c r="O21" s="26"/>
      <c r="P21" s="26"/>
      <c r="Q21" s="26"/>
      <c r="R21" s="26"/>
      <c r="S21" s="26"/>
      <c r="T21" s="26"/>
      <c r="U21" s="26"/>
      <c r="V21" s="26"/>
      <c r="W21" s="26"/>
      <c r="X21" s="26"/>
      <c r="Y21" s="26"/>
      <c r="Z21" s="26"/>
      <c r="AA21" s="26"/>
      <c r="AB21" s="26"/>
    </row>
    <row r="22">
      <c r="A22" s="21" t="s">
        <v>75</v>
      </c>
      <c r="B22" s="22" t="s">
        <v>76</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3" t="str">
        <f>IFERROR(__xludf.DUMMYFUNCTION("GOOGLETRANSLATE(B22, ""en"", ""hr"")"),"Potrebna lozinka.")</f>
        <v>Potrebna lozinka.</v>
      </c>
      <c r="M22" s="23" t="s">
        <v>77</v>
      </c>
      <c r="N22" s="26"/>
      <c r="O22" s="26"/>
      <c r="P22" s="26"/>
      <c r="Q22" s="26"/>
      <c r="R22" s="26"/>
      <c r="S22" s="26"/>
      <c r="T22" s="26"/>
      <c r="U22" s="26"/>
      <c r="V22" s="26"/>
      <c r="W22" s="26"/>
      <c r="X22" s="26"/>
      <c r="Y22" s="26"/>
      <c r="Z22" s="26"/>
      <c r="AA22" s="26"/>
      <c r="AB22" s="26"/>
    </row>
    <row r="23">
      <c r="A23" s="21" t="s">
        <v>78</v>
      </c>
      <c r="B23" s="22" t="s">
        <v>79</v>
      </c>
      <c r="C23" s="23" t="str">
        <f>IFERROR(__xludf.DUMMYFUNCTION("GOOGLETRANSLATE(B23, ""en"", ""fr"")"),"Nom d'utilisateur ou mot de passe non valide.")</f>
        <v>Nom d'utilisateur ou mot de passe non 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3" t="str">
        <f>IFERROR(__xludf.DUMMYFUNCTION("GOOGLETRANSLATE(B23, ""en"", ""hr"")"),"Neispravno korisničko ime ili lozinka.")</f>
        <v>Neispravno korisničko ime ili lozinka.</v>
      </c>
      <c r="M23" s="23" t="s">
        <v>80</v>
      </c>
      <c r="N23" s="26"/>
      <c r="O23" s="26"/>
      <c r="P23" s="26"/>
      <c r="Q23" s="26"/>
      <c r="R23" s="26"/>
      <c r="S23" s="26"/>
      <c r="T23" s="26"/>
      <c r="U23" s="26"/>
      <c r="V23" s="26"/>
      <c r="W23" s="26"/>
      <c r="X23" s="26"/>
      <c r="Y23" s="26"/>
      <c r="Z23" s="26"/>
      <c r="AA23" s="26"/>
      <c r="AB23" s="26"/>
    </row>
    <row r="24">
      <c r="A24" s="21" t="s">
        <v>81</v>
      </c>
      <c r="B24" s="22" t="s">
        <v>82</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
        <v>83</v>
      </c>
      <c r="F24" s="23" t="str">
        <f>IFERROR(__xludf.DUMMYFUNCTION("GOOGLETRANSLATE(B24, ""en"", ""tr"")"),"Bu hesap zaten giriş yapmıştır.")</f>
        <v>Bu hesap zaten giriş yapmıştır.</v>
      </c>
      <c r="G24" s="23" t="str">
        <f>IFERROR(__xludf.DUMMYFUNCTION("GOOGLETRANSLATE(B24, ""en"", ""pt"")"),"Essa conta já está conectada.")</f>
        <v>Essa conta já está conectada.</v>
      </c>
      <c r="H24" s="24" t="str">
        <f>IFERROR(__xludf.DUMMYFUNCTION("GOOGLETRANSLATE(B24, ""en"", ""de"")"),"Dieses Konto ist bereits angemeldet.")</f>
        <v>Dieses Konto ist bereits angemeldet.</v>
      </c>
      <c r="I24" s="23" t="str">
        <f>IFERROR(__xludf.DUMMYFUNCTION("GOOGLETRANSLATE(B24, ""en"", ""pl"")"),"To konto jest już zalogowane.")</f>
        <v>To konto jest już zalogowane.</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3" t="str">
        <f>IFERROR(__xludf.DUMMYFUNCTION("GOOGLETRANSLATE(B24, ""en"", ""hr"")"),"Taj je račun već prijavljen.")</f>
        <v>Taj je račun već prijavljen.</v>
      </c>
      <c r="M24" s="23" t="s">
        <v>84</v>
      </c>
      <c r="N24" s="26"/>
      <c r="O24" s="26"/>
      <c r="P24" s="26"/>
      <c r="Q24" s="26"/>
      <c r="R24" s="26"/>
      <c r="S24" s="26"/>
      <c r="T24" s="26"/>
      <c r="U24" s="26"/>
      <c r="V24" s="26"/>
      <c r="W24" s="26"/>
      <c r="X24" s="26"/>
      <c r="Y24" s="26"/>
      <c r="Z24" s="26"/>
      <c r="AA24" s="26"/>
      <c r="AB24" s="26"/>
    </row>
    <row r="25">
      <c r="A25" s="21" t="s">
        <v>85</v>
      </c>
      <c r="B25" s="22" t="s">
        <v>85</v>
      </c>
      <c r="C25" s="23" t="s">
        <v>86</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3" t="str">
        <f>IFERROR(__xludf.DUMMYFUNCTION("GOOGLETRANSLATE(B25, ""en"", ""hr"")"),"Partneri")</f>
        <v>Partneri</v>
      </c>
      <c r="M25" s="23" t="s">
        <v>87</v>
      </c>
      <c r="N25" s="26"/>
      <c r="O25" s="26"/>
      <c r="P25" s="26"/>
      <c r="Q25" s="26"/>
      <c r="R25" s="26"/>
      <c r="S25" s="26"/>
      <c r="T25" s="26"/>
      <c r="U25" s="26"/>
      <c r="V25" s="26"/>
      <c r="W25" s="26"/>
      <c r="X25" s="26"/>
      <c r="Y25" s="26"/>
      <c r="Z25" s="26"/>
      <c r="AA25" s="26"/>
      <c r="AB25" s="26"/>
    </row>
    <row r="26">
      <c r="A26" s="21" t="s">
        <v>88</v>
      </c>
      <c r="B26" s="22" t="s">
        <v>88</v>
      </c>
      <c r="C26" s="23" t="str">
        <f>IFERROR(__xludf.DUMMYFUNCTION("GOOGLETRANSLATE(B26, ""en"", ""fr"")"),"Crédits")</f>
        <v>Crédits</v>
      </c>
      <c r="D26" s="23" t="str">
        <f>IFERROR(__xludf.DUMMYFUNCTION("GOOGLETRANSLATE(B26, ""en"", ""es"")"),"Créditos")</f>
        <v>Créditos</v>
      </c>
      <c r="E26" s="23" t="s">
        <v>89</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3" t="str">
        <f>IFERROR(__xludf.DUMMYFUNCTION("GOOGLETRANSLATE(B26, ""en"", ""hr"")"),"Zasluga")</f>
        <v>Zasluga</v>
      </c>
      <c r="M26" s="23" t="s">
        <v>90</v>
      </c>
      <c r="N26" s="26"/>
      <c r="O26" s="26"/>
      <c r="P26" s="26"/>
      <c r="Q26" s="26"/>
      <c r="R26" s="26"/>
      <c r="S26" s="26"/>
      <c r="T26" s="26"/>
      <c r="U26" s="26"/>
      <c r="V26" s="26"/>
      <c r="W26" s="26"/>
      <c r="X26" s="26"/>
      <c r="Y26" s="26"/>
      <c r="Z26" s="26"/>
      <c r="AA26" s="26"/>
      <c r="AB26" s="26"/>
    </row>
    <row r="27">
      <c r="A27" s="21" t="s">
        <v>91</v>
      </c>
      <c r="B27" s="22" t="s">
        <v>91</v>
      </c>
      <c r="C27" s="23" t="s">
        <v>91</v>
      </c>
      <c r="D27" s="23" t="s">
        <v>91</v>
      </c>
      <c r="E27" s="23" t="s">
        <v>92</v>
      </c>
      <c r="F27" s="23" t="s">
        <v>91</v>
      </c>
      <c r="G27" s="23" t="s">
        <v>91</v>
      </c>
      <c r="H27" s="23" t="s">
        <v>91</v>
      </c>
      <c r="I27" s="23" t="s">
        <v>91</v>
      </c>
      <c r="J27" s="23" t="s">
        <v>91</v>
      </c>
      <c r="K27" s="23" t="s">
        <v>91</v>
      </c>
      <c r="L27" s="23" t="s">
        <v>91</v>
      </c>
      <c r="M27" s="23" t="s">
        <v>91</v>
      </c>
      <c r="N27" s="26"/>
      <c r="O27" s="26"/>
      <c r="P27" s="26"/>
      <c r="Q27" s="26"/>
      <c r="R27" s="26"/>
      <c r="S27" s="26"/>
      <c r="T27" s="26"/>
      <c r="U27" s="26"/>
      <c r="V27" s="26"/>
      <c r="W27" s="26"/>
      <c r="X27" s="26"/>
      <c r="Y27" s="26"/>
      <c r="Z27" s="26"/>
      <c r="AA27" s="26"/>
      <c r="AB27" s="26"/>
    </row>
    <row r="28">
      <c r="A28" s="21" t="s">
        <v>93</v>
      </c>
      <c r="B28" s="22" t="s">
        <v>93</v>
      </c>
      <c r="C28" s="23" t="s">
        <v>94</v>
      </c>
      <c r="D28" s="23" t="str">
        <f>IFERROR(__xludf.DUMMYFUNCTION("GOOGLETRANSLATE(B28, ""en"", ""es"")"),"Tocar")</f>
        <v>Tocar</v>
      </c>
      <c r="E28" s="23" t="s">
        <v>95</v>
      </c>
      <c r="F28" s="23" t="str">
        <f>IFERROR(__xludf.DUMMYFUNCTION("GOOGLETRANSLATE(B28, ""en"", ""tr"")"),"Oyna")</f>
        <v>Oyna</v>
      </c>
      <c r="G28" s="23" t="str">
        <f>IFERROR(__xludf.DUMMYFUNCTION("GOOGLETRANSLATE(B28, ""en"", ""pt"")"),"Toque")</f>
        <v>Toque</v>
      </c>
      <c r="H28" s="24" t="str">
        <f>IFERROR(__xludf.DUMMYFUNCTION("GOOGLETRANSLATE(B28, ""en"", ""de"")"),"Spielen")</f>
        <v>Spielen</v>
      </c>
      <c r="I28" s="23" t="str">
        <f>IFERROR(__xludf.DUMMYFUNCTION("GOOGLETRANSLATE(B28, ""en"", ""pl"")"),"Bawić się")</f>
        <v>Bawić się</v>
      </c>
      <c r="J28" s="25" t="str">
        <f>IFERROR(__xludf.DUMMYFUNCTION("GOOGLETRANSLATE(B28, ""en"", ""zh"")"),"玩")</f>
        <v>玩</v>
      </c>
      <c r="K28" s="25" t="str">
        <f>IFERROR(__xludf.DUMMYFUNCTION("GOOGLETRANSLATE(B28, ""en"", ""vi"")"),"Chơi")</f>
        <v>Chơi</v>
      </c>
      <c r="L28" s="23" t="str">
        <f>IFERROR(__xludf.DUMMYFUNCTION("GOOGLETRANSLATE(B28, ""en"", ""hr"")"),"igra")</f>
        <v>igra</v>
      </c>
      <c r="M28" s="23" t="s">
        <v>96</v>
      </c>
      <c r="N28" s="26"/>
      <c r="O28" s="26"/>
      <c r="P28" s="26"/>
      <c r="Q28" s="26"/>
      <c r="R28" s="26"/>
      <c r="S28" s="26"/>
      <c r="T28" s="26"/>
      <c r="U28" s="26"/>
      <c r="V28" s="26"/>
      <c r="W28" s="26"/>
      <c r="X28" s="26"/>
      <c r="Y28" s="26"/>
      <c r="Z28" s="26"/>
      <c r="AA28" s="26"/>
      <c r="AB28" s="26"/>
    </row>
    <row r="29">
      <c r="A29" s="21" t="s">
        <v>97</v>
      </c>
      <c r="B29" s="22" t="s">
        <v>97</v>
      </c>
      <c r="C29" s="23" t="s">
        <v>98</v>
      </c>
      <c r="D29" s="23" t="str">
        <f>IFERROR(__xludf.DUMMYFUNCTION("GOOGLETRANSLATE(B29, ""en"", ""es"")"),"Volver a conectar")</f>
        <v>Volver a conectar</v>
      </c>
      <c r="E29" s="23" t="s">
        <v>99</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verbinden")</f>
        <v>Wieder verbinden</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""vi"")"),"Kết nối lại")</f>
        <v>Kết nối lại</v>
      </c>
      <c r="L29" s="23" t="str">
        <f>IFERROR(__xludf.DUMMYFUNCTION("GOOGLETRANSLATE(B29, ""en"", ""hr"")"),"Ponovno povezati")</f>
        <v>Ponovno povezati</v>
      </c>
      <c r="M29" s="23" t="s">
        <v>100</v>
      </c>
      <c r="N29" s="26"/>
      <c r="O29" s="26"/>
      <c r="P29" s="26"/>
      <c r="Q29" s="26"/>
      <c r="R29" s="26"/>
      <c r="S29" s="26"/>
      <c r="T29" s="26"/>
      <c r="U29" s="26"/>
      <c r="V29" s="26"/>
      <c r="W29" s="26"/>
      <c r="X29" s="26"/>
      <c r="Y29" s="26"/>
      <c r="Z29" s="26"/>
      <c r="AA29" s="26"/>
      <c r="AB29" s="26"/>
    </row>
    <row r="30">
      <c r="A30" s="21" t="s">
        <v>101</v>
      </c>
      <c r="B30" s="22" t="s">
        <v>102</v>
      </c>
      <c r="C30" s="23" t="str">
        <f>IFERROR(__xludf.DUMMYFUNCTION("GOOGLETRANSLATE(B30, ""en"", ""fr"")"),"Connexion au serveur de jeux ...")</f>
        <v>Connexion au serveur de jeux ...</v>
      </c>
      <c r="D30" s="23" t="str">
        <f>IFERROR(__xludf.DUMMYFUNCTION("GOOGLETRANSLATE(B30, ""en"", ""es"")"),"Conectarse al servidor de juegos ...")</f>
        <v>Conectarse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-se ao servidor de jogo ...")</f>
        <v>Conectando -se ao servidor de jogo ...</v>
      </c>
      <c r="H30" s="24" t="str">
        <f>IFERROR(__xludf.DUMMYFUNCTION("GOOGLETRANSLATE(B30, ""en"", ""de"")"),"Verbindung zum Spielserver ...")</f>
        <v>Verbindung zum Spielserver ...</v>
      </c>
      <c r="I30" s="23" t="str">
        <f>IFERROR(__xludf.DUMMYFUNCTION("GOOGLETRANSLATE(B30, ""en"", ""pl"")"),"Łączenie z serwerem gier ...")</f>
        <v>Łączenie z serwerem gier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3" t="str">
        <f>IFERROR(__xludf.DUMMYFUNCTION("GOOGLETRANSLATE(B30, ""en"", ""hr"")"),"Povezivanje s poslužiteljem igara ...")</f>
        <v>Povezivanje s poslužiteljem igara ...</v>
      </c>
      <c r="M30" s="23" t="s">
        <v>103</v>
      </c>
      <c r="N30" s="26"/>
      <c r="O30" s="26"/>
      <c r="P30" s="26"/>
      <c r="Q30" s="26"/>
      <c r="R30" s="26"/>
      <c r="S30" s="26"/>
      <c r="T30" s="26"/>
      <c r="U30" s="26"/>
      <c r="V30" s="26"/>
      <c r="W30" s="26"/>
      <c r="X30" s="26"/>
      <c r="Y30" s="26"/>
      <c r="Z30" s="26"/>
      <c r="AA30" s="26"/>
      <c r="AB30" s="26"/>
    </row>
    <row r="31">
      <c r="A31" s="21" t="s">
        <v>104</v>
      </c>
      <c r="B31" s="22" t="s">
        <v>105</v>
      </c>
      <c r="C31" s="27" t="s">
        <v>106</v>
      </c>
      <c r="D31" s="23" t="str">
        <f>IFERROR(__xludf.DUMMYFUNCTION("GOOGLETRANSLATE(B31, ""en"", ""es"")"),"Uniéndose al mundo del juego ...")</f>
        <v>Uniéndose al mundo del juego ...</v>
      </c>
      <c r="E31" s="23" t="s">
        <v>107</v>
      </c>
      <c r="F31" s="23" t="str">
        <f>IFERROR(__xludf.DUMMYFUNCTION("GOOGLETRANSLATE(B31, ""en"", ""tr"")"),"Oyun Dünyasına Katılmak ...")</f>
        <v>Oyun Dünyasına Katılmak ...</v>
      </c>
      <c r="G31" s="23" t="str">
        <f>IFERROR(__xludf.DUMMYFUNCTION("GOOGLETRANSLATE(B31, ""en"", ""pt"")"),"Juntando -se ao Game World ...")</f>
        <v>Juntando -se ao Game World ...</v>
      </c>
      <c r="H31" s="24" t="str">
        <f>IFERROR(__xludf.DUMMYFUNCTION("GOOGLETRANSLATE(B31, ""en"", ""de"")"),"Beitritt zu Spielwelt ...")</f>
        <v>Beitritt zu Spielwelt ...</v>
      </c>
      <c r="I31" s="23" t="str">
        <f>IFERROR(__xludf.DUMMYFUNCTION("GOOGLETRANSLATE(B31, ""en"", ""pl"")"),"Dołącz do Game World ...")</f>
        <v>Dołącz do Game World ...</v>
      </c>
      <c r="J31" s="25" t="str">
        <f>IFERROR(__xludf.DUMMYFUNCTION("GOOGLETRANSLATE(B31, ""en"", ""zh"")"),"加入游戏世界...")</f>
        <v>加入游戏世界...</v>
      </c>
      <c r="K31" s="25" t="str">
        <f>IFERROR(__xludf.DUMMYFUNCTION("GOOGLETRANSLATE(B31, ""en"", ""vi"")"),"Tham gia Thế giới trò chơi ...")</f>
        <v>Tham gia Thế giới trò chơi ...</v>
      </c>
      <c r="L31" s="23" t="str">
        <f>IFERROR(__xludf.DUMMYFUNCTION("GOOGLETRANSLATE(B31, ""en"", ""hr"")"),"Pridruživanje svijeta igre ...")</f>
        <v>Pridruživanje svijeta igre ...</v>
      </c>
      <c r="M31" s="23" t="s">
        <v>108</v>
      </c>
      <c r="N31" s="26"/>
      <c r="O31" s="26"/>
      <c r="P31" s="26"/>
      <c r="Q31" s="26"/>
      <c r="R31" s="26"/>
      <c r="S31" s="26"/>
      <c r="T31" s="26"/>
      <c r="U31" s="26"/>
      <c r="V31" s="26"/>
      <c r="W31" s="26"/>
      <c r="X31" s="26"/>
      <c r="Y31" s="26"/>
      <c r="Z31" s="26"/>
      <c r="AA31" s="26"/>
      <c r="AB31" s="26"/>
    </row>
    <row r="32">
      <c r="A32" s="21" t="s">
        <v>109</v>
      </c>
      <c r="B32" s="22" t="s">
        <v>109</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""zh"")"),"加载")</f>
        <v>加载</v>
      </c>
      <c r="K32" s="25" t="str">
        <f>IFERROR(__xludf.DUMMYFUNCTION("GOOGLETRANSLATE(B32, ""en"", ""vi"")"),"Đang tải")</f>
        <v>Đang tải</v>
      </c>
      <c r="L32" s="23" t="str">
        <f>IFERROR(__xludf.DUMMYFUNCTION("GOOGLETRANSLATE(B32, ""en"", ""hr"")"),"Učitavam")</f>
        <v>Učitavam</v>
      </c>
      <c r="M32" s="23" t="s">
        <v>110</v>
      </c>
      <c r="N32" s="26"/>
      <c r="O32" s="26"/>
      <c r="P32" s="26"/>
      <c r="Q32" s="26"/>
      <c r="R32" s="26"/>
      <c r="S32" s="26"/>
      <c r="T32" s="26"/>
      <c r="U32" s="26"/>
      <c r="V32" s="26"/>
      <c r="W32" s="26"/>
      <c r="X32" s="26"/>
      <c r="Y32" s="26"/>
      <c r="Z32" s="26"/>
      <c r="AA32" s="26"/>
      <c r="AB32" s="26"/>
    </row>
    <row r="33">
      <c r="A33" s="21" t="s">
        <v>111</v>
      </c>
      <c r="B33" s="22" t="s">
        <v>111</v>
      </c>
      <c r="C33" s="23" t="str">
        <f>IFERROR(__xludf.DUMMYFUNCTION("GOOGLETRANSLATE(B33, ""en"", ""fr"")"),"Jeu chargé")</f>
        <v>Jeu chargé</v>
      </c>
      <c r="D33" s="23" t="str">
        <f>IFERROR(__xludf.DUMMYFUNCTION("GOOGLETRANSLATE(B33, ""en"", ""es"")"),"Juego cargado")</f>
        <v>Juego cargado</v>
      </c>
      <c r="E33" s="23" t="s">
        <v>112</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""pl"")"),"Załadowana gra")</f>
        <v>Załadowana gra</v>
      </c>
      <c r="J33" s="25" t="str">
        <f>IFERROR(__xludf.DUMMYFUNCTION("GOOGLETRANSLATE(B33, ""en"", ""zh"")"),"游戏加载")</f>
        <v>游戏加载</v>
      </c>
      <c r="K33" s="25" t="str">
        <f>IFERROR(__xludf.DUMMYFUNCTION("GOOGLETRANSLATE(B33, ""en"", ""vi"")"),"Trò chơi được tải")</f>
        <v>Trò chơi được tải</v>
      </c>
      <c r="L33" s="23" t="str">
        <f>IFERROR(__xludf.DUMMYFUNCTION("GOOGLETRANSLATE(B33, ""en"", ""hr"")"),"Učitana igra")</f>
        <v>Učitana igra</v>
      </c>
      <c r="M33" s="23" t="s">
        <v>113</v>
      </c>
      <c r="N33" s="26"/>
      <c r="O33" s="26"/>
      <c r="P33" s="26"/>
      <c r="Q33" s="26"/>
      <c r="R33" s="26"/>
      <c r="S33" s="26"/>
      <c r="T33" s="26"/>
      <c r="U33" s="26"/>
      <c r="V33" s="26"/>
      <c r="W33" s="26"/>
      <c r="X33" s="26"/>
      <c r="Y33" s="26"/>
      <c r="Z33" s="26"/>
      <c r="AA33" s="26"/>
      <c r="AB33" s="26"/>
    </row>
    <row r="34">
      <c r="A34" s="21" t="s">
        <v>114</v>
      </c>
      <c r="B34" s="22" t="s">
        <v>114</v>
      </c>
      <c r="C34" s="23" t="s">
        <v>115</v>
      </c>
      <c r="D34" s="23" t="str">
        <f>IFERROR(__xludf.DUMMYFUNCTION("GOOGLETRANSLATE(B34, ""en"", ""es"")"),"Siguiente pista")</f>
        <v>Siguiente pista</v>
      </c>
      <c r="E34" s="23" t="s">
        <v>116</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3" t="str">
        <f>IFERROR(__xludf.DUMMYFUNCTION("GOOGLETRANSLATE(B34, ""en"", ""hr"")"),"Sljedeći nagovještaj")</f>
        <v>Sljedeći nagovještaj</v>
      </c>
      <c r="M34" s="23" t="s">
        <v>117</v>
      </c>
      <c r="N34" s="26"/>
      <c r="O34" s="26"/>
      <c r="P34" s="26"/>
      <c r="Q34" s="26"/>
      <c r="R34" s="26"/>
      <c r="S34" s="26"/>
      <c r="T34" s="26"/>
      <c r="U34" s="26"/>
      <c r="V34" s="26"/>
      <c r="W34" s="26"/>
      <c r="X34" s="26"/>
      <c r="Y34" s="26"/>
      <c r="Z34" s="26"/>
      <c r="AA34" s="26"/>
      <c r="AB34" s="26"/>
    </row>
    <row r="35">
      <c r="A35" s="21" t="s">
        <v>118</v>
      </c>
      <c r="B35" s="22" t="s">
        <v>119</v>
      </c>
      <c r="C35" s="23" t="str">
        <f>IFERROR(__xludf.DUMMYFUNCTION("GOOGLETRANSLATE(B35, ""en"", ""fr"")"),"Rogueworld est open-source.")</f>
        <v>Rogueworld est open-source.</v>
      </c>
      <c r="D35" s="23" t="str">
        <f>IFERROR(__xludf.DUMMYFUNCTION("GOOGLETRANSLATE(B35, ""en"", ""es"")"),"Rogueworld es de código abierto.")</f>
        <v>Rogueworld es de código abierto.</v>
      </c>
      <c r="E35" s="23" t="s">
        <v>120</v>
      </c>
      <c r="F35" s="23" t="str">
        <f>IFERROR(__xludf.DUMMYFUNCTION("GOOGLETRANSLATE(B35, ""en"", ""tr"")"),"Rogueworld açık kaynaklı.")</f>
        <v>Rogueworld açık kaynaklı.</v>
      </c>
      <c r="G35" s="23" t="str">
        <f>IFERROR(__xludf.DUMMYFUNCTION("GOOGLETRANSLATE(B35, ""en"", ""pt"")"),"RogueWorld é de código aberto.")</f>
        <v>RogueWorld é de código aberto.</v>
      </c>
      <c r="H35" s="24" t="str">
        <f>IFERROR(__xludf.DUMMYFUNCTION("GOOGLETRANSLATE(B35, ""en"", ""de"")"),"Rogueworld ist Open-Source.")</f>
        <v>Rogueworld ist Open-Source.</v>
      </c>
      <c r="I35" s="23" t="str">
        <f>IFERROR(__xludf.DUMMYFUNCTION("GOOGLETRANSLATE(B35, ""en"", ""pl"")"),"RogueWorld jest open source.")</f>
        <v>RogueWorld jest open source.</v>
      </c>
      <c r="J35" s="25" t="str">
        <f>IFERROR(__xludf.DUMMYFUNCTION("GOOGLETRANSLATE(B35, ""en"", ""zh"")"),"Rogueworld是开源的。")</f>
        <v>Rogueworld是开源的。</v>
      </c>
      <c r="K35" s="25" t="str">
        <f>IFERROR(__xludf.DUMMYFUNCTION("GOOGLETRANSLATE(B35, ""en"", ""vi"")"),"Rogueworld là nguồn mở.")</f>
        <v>Rogueworld là nguồn mở.</v>
      </c>
      <c r="L35" s="23" t="str">
        <f>IFERROR(__xludf.DUMMYFUNCTION("GOOGLETRANSLATE(B35, ""en"", ""hr"")"),"Rogueworld je otvoreni koš.")</f>
        <v>Rogueworld je otvoreni koš.</v>
      </c>
      <c r="M35" s="23" t="s">
        <v>121</v>
      </c>
      <c r="N35" s="26"/>
      <c r="O35" s="26"/>
      <c r="P35" s="26"/>
      <c r="Q35" s="26"/>
      <c r="R35" s="26"/>
      <c r="S35" s="26"/>
      <c r="T35" s="26"/>
      <c r="U35" s="26"/>
      <c r="V35" s="26"/>
      <c r="W35" s="26"/>
      <c r="X35" s="26"/>
      <c r="Y35" s="26"/>
      <c r="Z35" s="26"/>
      <c r="AA35" s="26"/>
      <c r="AB35" s="26"/>
    </row>
    <row r="36">
      <c r="A36" s="21" t="s">
        <v>122</v>
      </c>
      <c r="B36" s="22" t="s">
        <v>123</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
        <v>124</v>
      </c>
      <c r="F36" s="23" t="str">
        <f>IFERROR(__xludf.DUMMYFUNCTION("GOOGLETRANSLATE(B36, ""en"", ""tr"")"),"Bazı yaratıklar sadece geceleri ortaya çıkar.")</f>
        <v>Bazı yaratıklar sadece geceleri ortaya çıkar.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""zh"")"),"有些生物只会在晚上出现。")</f>
        <v>有些生物只会在晚上出现。</v>
      </c>
      <c r="K36" s="25" t="str">
        <f>IFERROR(__xludf.DUMMYFUNCTION("GOOGLETRANSLATE(B36, ""en"", ""vi"")"),"Một số sinh vật chỉ xuất hiện vào ban đêm.")</f>
        <v>Một số sinh vật chỉ xuất hiện vào ban đêm.</v>
      </c>
      <c r="L36" s="23" t="str">
        <f>IFERROR(__xludf.DUMMYFUNCTION("GOOGLETRANSLATE(B36, ""en"", ""hr"")"),"Neka se stvorenja pojavljuju samo noću.")</f>
        <v>Neka se stvorenja pojavljuju samo noću.</v>
      </c>
      <c r="M36" s="23" t="s">
        <v>125</v>
      </c>
      <c r="N36" s="26"/>
      <c r="O36" s="26"/>
      <c r="P36" s="26"/>
      <c r="Q36" s="26"/>
      <c r="R36" s="26"/>
      <c r="S36" s="26"/>
      <c r="T36" s="26"/>
      <c r="U36" s="26"/>
      <c r="V36" s="26"/>
      <c r="W36" s="26"/>
      <c r="X36" s="26"/>
      <c r="Y36" s="26"/>
      <c r="Z36" s="26"/>
      <c r="AA36" s="26"/>
      <c r="AB36" s="26"/>
    </row>
    <row r="37">
      <c r="A37" s="21" t="s">
        <v>126</v>
      </c>
      <c r="B37" s="22" t="s">
        <v>127</v>
      </c>
      <c r="C37" s="23" t="s">
        <v>128</v>
      </c>
      <c r="D37" s="23" t="str">
        <f>IFERROR(__xludf.DUMMYFUNCTION("GOOGLETRANSLATE(B37, ""en"", ""es"")"),"Se pueden encontrar recursos de nivel superior más lejos de la ciudad inicial.")</f>
        <v>Se pueden encontrar recursos de nivel superior más lejos de la ciudad inicial.</v>
      </c>
      <c r="E37" s="23" t="str">
        <f>IFERROR(__xludf.DUMMYFUNCTION("GOOGLETRANSLATE(B37, ""en"", ""ru"")"),"Ресурсы более высокого уровня можно найти дальше от стартового города.")</f>
        <v>Ресурсы более высокого уровня можно найти дальше от стартового города.</v>
      </c>
      <c r="F37" s="23" t="str">
        <f>IFERROR(__xludf.DUMMYFUNCTION("GOOGLETRANSLATE(B37, ""en"", ""tr"")"),"Başlangıç ​​şehirden daha yüksek katmanlı kaynaklar bulunabilir.")</f>
        <v>Başlangıç ​​şehirden daha yüksek katmanlı kaynaklar bulunabilir.</v>
      </c>
      <c r="G37" s="23" t="str">
        <f>IFERROR(__xludf.DUMMYFUNCTION("GOOGLETRANSLATE(B37, ""en"", ""pt"")"),"Recursos de nível mais altos podem ser encontrados ainda mais na cidade inicial.")</f>
        <v>Recursos de nível mais altos podem ser encontrados ainda mais na cidade inicial.</v>
      </c>
      <c r="H37" s="24" t="str">
        <f>IFERROR(__xludf.DUMMYFUNCTION("GOOGLETRANSLATE(B37, ""en"", ""de"")"),"Höhere Ressourcen können weiter von der Startstadt entfernt gefunden werden.")</f>
        <v>Höhere Ressourcen können weiter von der Startstadt entfernt gefunden werden.</v>
      </c>
      <c r="I37" s="23" t="str">
        <f>IFERROR(__xludf.DUMMYFUNCTION("GOOGLETRANSLATE(B37, ""en"", ""pl"")"),"Wyższe zasoby poziomu można znaleźć dalej od miasta początkowego.")</f>
        <v>Wyższe zasoby poziomu można znaleźć dalej od miasta początkowego.</v>
      </c>
      <c r="J37" s="25" t="str">
        <f>IFERROR(__xludf.DUMMYFUNCTION("GOOGLETRANSLATE(B37, ""en"", ""zh"")"),"较高的层次资源可以从起步城市进一步找到。")</f>
        <v>较高的层次资源可以从起步城市进一步找到。</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3" t="str">
        <f>IFERROR(__xludf.DUMMYFUNCTION("GOOGLETRANSLATE(B37, ""en"", ""hr"")"),"Resursi viših slojeva mogu se naći dalje od početnog grada.")</f>
        <v>Resursi viših slojeva mogu se naći dalje od početnog grada.</v>
      </c>
      <c r="M37" s="23" t="s">
        <v>129</v>
      </c>
      <c r="N37" s="26"/>
      <c r="O37" s="26"/>
      <c r="P37" s="26"/>
      <c r="Q37" s="26"/>
      <c r="R37" s="26"/>
      <c r="S37" s="26"/>
      <c r="T37" s="26"/>
      <c r="U37" s="26"/>
      <c r="V37" s="26"/>
      <c r="W37" s="26"/>
      <c r="X37" s="26"/>
      <c r="Y37" s="26"/>
      <c r="Z37" s="26"/>
      <c r="AA37" s="26"/>
      <c r="AB37" s="26"/>
    </row>
    <row r="38">
      <c r="A38" s="21" t="s">
        <v>130</v>
      </c>
      <c r="B38" s="22" t="s">
        <v>131</v>
      </c>
      <c r="C38" s="23" t="s">
        <v>132</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подземелий распространяются по всему миру. Каждый приводит к другой проблеме.")</f>
        <v>Порталы подземелий распространяются по всему миру. Каждый приводит к другой проблеме.</v>
      </c>
      <c r="F38" s="23" t="str">
        <f>IFERROR(__xludf.DUMMYFUNCTION("GOOGLETRANSLATE(B38, ""en"", ""tr"")"),"Zindan portalları dünyaya yayılmıştır. Her biri farklı bir zorluğa yol açar.")</f>
        <v>Zindan portalları dünyaya yayılmıştır. Her biri farklı bir zorluğa yol açar.</v>
      </c>
      <c r="G38" s="23" t="str">
        <f>IFERROR(__xludf.DUMMYFUNCTION("GOOGLETRANSLATE(B38, ""en"", ""pt"")"),"Os portais de masmorra estão espalhados por todo o mundo. Cada um leva a um desafio diferente.")</f>
        <v>Os portais de masmorra estão espalhados por todo o mundo. Cada um leva a um desafio diferente.</v>
      </c>
      <c r="H38" s="24" t="str">
        <f>IFERROR(__xludf.DUMMYFUNCTION("GOOGLETRANSLATE(B38, ""en"", ""de"")"),"Dungeon -Portale sind weltweit verteilt. Jeder führt zu einer anderen Herausforderung.")</f>
        <v>Dungeon -Portale sind weltweit verteilt. Jeder führt zu einer anderen Herausforderung.</v>
      </c>
      <c r="I38" s="23" t="str">
        <f>IFERROR(__xludf.DUMMYFUNCTION("GOOGLETRANSLATE(B38, ""en"", ""pl"")"),"Portale lochów są rozpowszechniane na całym świecie. Każdy prowadzi do innego wyzwania.")</f>
        <v>Portale lochów są rozpowszechniane na całym świecie. Każdy prowadzi do innego wyzwania.</v>
      </c>
      <c r="J38" s="25" t="str">
        <f>IFERROR(__xludf.DUMMYFUNCTION("GOOGLETRANSLATE(B38, ""en"", ""zh"")"),"地牢门户网站遍布世界各地。每个人都会带来不同的挑战。")</f>
        <v>地牢门户网站遍布世界各地。每个人都会带来不同的挑战。</v>
      </c>
      <c r="K38" s="25" t="str">
        <f>IFERROR(__xludf.DUMMYFUNCTION("GOOGLETRANSLATE(B38, ""en"", ""vi"")"),"Cổng Dungeon được lan truyền trên toàn thế giới. Mỗi người dẫn đến một thử thách khác nhau.")</f>
        <v>Cổng Dungeon được lan truyền trên toàn thế giới. Mỗi người dẫn đến một thử thách khác nhau.</v>
      </c>
      <c r="L38" s="23" t="str">
        <f>IFERROR(__xludf.DUMMYFUNCTION("GOOGLETRANSLATE(B38, ""en"", ""hr"")"),"Portali Dungeon šire se po cijelom svijetu. Svaka od njih vodi drugačijem izazovu.")</f>
        <v>Portali Dungeon šire se po cijelom svijetu. Svaka od njih vodi drugačijem izazovu.</v>
      </c>
      <c r="M38" s="23" t="s">
        <v>133</v>
      </c>
      <c r="N38" s="26"/>
      <c r="O38" s="26"/>
      <c r="P38" s="26"/>
      <c r="Q38" s="26"/>
      <c r="R38" s="26"/>
      <c r="S38" s="26"/>
      <c r="T38" s="26"/>
      <c r="U38" s="26"/>
      <c r="V38" s="26"/>
      <c r="W38" s="26"/>
      <c r="X38" s="26"/>
      <c r="Y38" s="26"/>
      <c r="Z38" s="26"/>
      <c r="AA38" s="26"/>
      <c r="AB38" s="26"/>
    </row>
    <row r="39">
      <c r="A39" s="21" t="s">
        <v>134</v>
      </c>
      <c r="B39" s="22" t="s">
        <v>135</v>
      </c>
      <c r="C39" s="23" t="s">
        <v>136</v>
      </c>
      <c r="D39" s="23" t="str">
        <f>IFERROR(__xludf.DUMMYFUNCTION("GOOGLETRANSLATE(B39, ""en"", ""es"")"),"A veces se pueden encontrar jefes en el mundo del mundo.")</f>
        <v>A veces se pueden encontrar jefes en el mundo del mundo.</v>
      </c>
      <c r="E39" s="23" t="str">
        <f>IFERROR(__xludf.DUMMYFUNCTION("GOOGLETRANSLATE(B39, ""en"", ""ru"")"),"Иногда боссов можно найти в чрезмерном мире.")</f>
        <v>Иногда боссов можно найти в чрезмерном мире.</v>
      </c>
      <c r="F39" s="23" t="str">
        <f>IFERROR(__xludf.DUMMYFUNCTION("GOOGLETRANSLATE(B39, ""en"", ""tr"")"),"Bazen patronlar dünyada bulunabilir.")</f>
        <v>Bazen patronlar dünyada bulunabilir.</v>
      </c>
      <c r="G39" s="23" t="str">
        <f>IFERROR(__xludf.DUMMYFUNCTION("GOOGLETRANSLATE(B39, ""en"", ""pt"")"),"Às vezes, os chefes podem ser encontrados no mundo todo.")</f>
        <v>Às vezes, os chefes podem ser encontrados no mundo todo.</v>
      </c>
      <c r="H39" s="24" t="str">
        <f>IFERROR(__xludf.DUMMYFUNCTION("GOOGLETRANSLATE(B39, ""en"", ""de"")"),"Manchmal sind Bosse auf der Überwelt zu finden.")</f>
        <v>Manchmal sind Bosse auf der Überwelt zu finden.</v>
      </c>
      <c r="I39" s="23" t="str">
        <f>IFERROR(__xludf.DUMMYFUNCTION("GOOGLETRANSLATE(B39, ""en"", ""pl"")"),"Czasami bossowie można znaleźć na świecie.")</f>
        <v>Czasami bossowie można znaleźć na świecie.</v>
      </c>
      <c r="J39" s="25" t="str">
        <f>IFERROR(__xludf.DUMMYFUNCTION("GOOGLETRANSLATE(B39, ""en"", ""zh"")"),"有时，老板可以在Overworld上找到。")</f>
        <v>有时，老板可以在Overworld上找到。</v>
      </c>
      <c r="K39" s="25" t="str">
        <f>IFERROR(__xludf.DUMMYFUNCTION("GOOGLETRANSLATE(B39, ""en"", ""vi"")"),"Đôi khi các ông chủ có thể được tìm thấy trên thế giới.")</f>
        <v>Đôi khi các ông chủ có thể được tìm thấy trên thế giới.</v>
      </c>
      <c r="L39" s="23" t="str">
        <f>IFERROR(__xludf.DUMMYFUNCTION("GOOGLETRANSLATE(B39, ""en"", ""hr"")"),"Ponekad se šefovi mogu naći na nadzemlju.")</f>
        <v>Ponekad se šefovi mogu naći na nadzemlju.</v>
      </c>
      <c r="M39" s="23" t="s">
        <v>137</v>
      </c>
      <c r="N39" s="26"/>
      <c r="O39" s="26"/>
      <c r="P39" s="26"/>
      <c r="Q39" s="26"/>
      <c r="R39" s="26"/>
      <c r="S39" s="26"/>
      <c r="T39" s="26"/>
      <c r="U39" s="26"/>
      <c r="V39" s="26"/>
      <c r="W39" s="26"/>
      <c r="X39" s="26"/>
      <c r="Y39" s="26"/>
      <c r="Z39" s="26"/>
      <c r="AA39" s="26"/>
      <c r="AB39" s="26"/>
    </row>
    <row r="40">
      <c r="A40" s="21" t="s">
        <v>138</v>
      </c>
      <c r="B40" s="22" t="s">
        <v>139</v>
      </c>
      <c r="C40" s="23" t="s">
        <v>140</v>
      </c>
      <c r="D40" s="23" t="str">
        <f>IFERROR(__xludf.DUMMYFUNCTION("GOOGLETRANSLATE(B40, ""en"", ""es"")"),"Cada nivel de estadística ganado aumenta su peso máximo de inventario.")</f>
        <v>Cada nivel de estadística ganado aumenta su peso máximo de inventario.</v>
      </c>
      <c r="E40" s="23" t="str">
        <f>IFERROR(__xludf.DUMMYFUNCTION("GOOGLETRANSLATE(B40, ""en"", ""ru"")"),"Каждый полученный уровень статистики увеличивает ваш максимальный вес инвентаризации.")</f>
        <v>Каждый полученный уровень статистики увеличивает ваш максимальный вес инвентаризации.</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""pt"")"),"Todo nível de estatística ganhou aumenta seu peso máximo de inventário.")</f>
        <v>Todo nível de estatística ganhou aumenta seu peso máximo de inventário.</v>
      </c>
      <c r="H40" s="24" t="str">
        <f>IFERROR(__xludf.DUMMYFUNCTION("GOOGLETRANSLATE(B40, ""en"", ""de"")"),"Jedes STAT -Niveau erhöht Ihr maximales Lagergewicht.")</f>
        <v>Jedes STAT -Niveau erhöht Ihr maximales Lagergewicht.</v>
      </c>
      <c r="I40" s="23" t="str">
        <f>IFERROR(__xludf.DUMMYFUNCTION("GOOGLETRANSLATE(B40, ""en"", ""pl"")"),"Każdy uzyskany poziom statystyk zwiększa maksymalną wagę zapasów.")</f>
        <v>Każdy uzyskany poziom statystyk zwiększa maksymalną wagę zapasów.</v>
      </c>
      <c r="J40" s="25" t="str">
        <f>IFERROR(__xludf.DUMMYFUNCTION("GOOGLETRANSLATE(B40, ""en"", ""zh"")"),"每个统计水平都会增加您的最大库存权重。")</f>
        <v>每个统计水平都会增加您的最大库存权重。</v>
      </c>
      <c r="K40" s="25" t="str">
        <f>IFERROR(__xludf.DUMMYFUNCTION("GOOGLETRANSLATE(B40, ""en"", ""vi"")"),"Mỗi cấp độ chỉ số tăng làm tăng trọng lượng hàng tồn kho tối đa của bạn.")</f>
        <v>Mỗi cấp độ chỉ số tăng làm tăng trọng lượng hàng tồn kho tối đa của bạn.</v>
      </c>
      <c r="L40" s="23" t="str">
        <f>IFERROR(__xludf.DUMMYFUNCTION("GOOGLETRANSLATE(B40, ""en"", ""hr"")"),"Svaka dobivena razina STAT povećava maksimalnu težinu zaliha.")</f>
        <v>Svaka dobivena razina STAT povećava maksimalnu težinu zaliha.</v>
      </c>
      <c r="M40" s="23"/>
      <c r="N40" s="26"/>
      <c r="O40" s="26"/>
      <c r="P40" s="26"/>
      <c r="Q40" s="26"/>
      <c r="R40" s="26"/>
      <c r="S40" s="26"/>
      <c r="T40" s="26"/>
      <c r="U40" s="26"/>
      <c r="V40" s="26"/>
      <c r="W40" s="26"/>
      <c r="X40" s="26"/>
      <c r="Y40" s="26"/>
      <c r="Z40" s="26"/>
      <c r="AA40" s="26"/>
      <c r="AB40" s="26"/>
    </row>
    <row r="41">
      <c r="A41" s="21" t="s">
        <v>141</v>
      </c>
      <c r="B41" s="22" t="s">
        <v>142</v>
      </c>
      <c r="C41" s="23" t="s">
        <v>143</v>
      </c>
      <c r="D41" s="23" t="str">
        <f>IFERROR(__xludf.DUMMYFUNCTION("GOOGLETRANSLATE(B41, ""en"", ""es"")"),"Con estadísticas de elaboración más altas, los artículos elaborados tienen una mayor cantidad o durabilidad.")</f>
        <v>Con estadísticas de elaboración más altas, los artículos elaborados tienen una mayor cantidad o durabilidad.</v>
      </c>
      <c r="E41" s="23" t="str">
        <f>IFERROR(__xludf.DUMMYFUNCTION("GOOGLETRANSLATE(B41, ""en"", ""ru"")"),"При более высокой статистике крафта изготовленные предметы имеют увеличение количества или долговечности.")</f>
        <v>При более высокой статистике крафта изготовленные предметы имеют увеличение количества или долговечности.</v>
      </c>
      <c r="F41" s="23" t="str">
        <f>IFERROR(__xludf.DUMMYFUNCTION("GOOGLETRANSLATE(B41, ""en"", ""tr"")"),"Daha yüksek işçilik istatistikleri ile, hazırlanmış ürünler artan miktar veya dayanıklılık vardır.")</f>
        <v>Daha yüksek işçilik istatistikleri ile, hazırlanmış ürünler artan miktar veya dayanıklılık vardır.</v>
      </c>
      <c r="G41" s="23" t="str">
        <f>IFERROR(__xludf.DUMMYFUNCTION("GOOGLETRANSLATE(B41, ""en"", ""pt"")"),"Com estatísticas de artesanato mais altas, os itens criados têm maior quantidade ou durabilidade.")</f>
        <v>Com estatísticas de artesanato mais altas, os itens criados têm maior quantidade ou durabilidade.</v>
      </c>
      <c r="H41" s="24" t="str">
        <f>IFERROR(__xludf.DUMMYFUNCTION("GOOGLETRANSLATE(B41, ""en"", ""de"")"),"Mit höheren Handwerksstatistiken haben gefertigte Elemente eine erhöhte Menge oder Haltbarkeit.")</f>
        <v>Mit höheren Handwerksstatistiken haben gefertigte Elemente eine erhöhte Menge oder Haltbarkeit.</v>
      </c>
      <c r="I41" s="23" t="str">
        <f>IFERROR(__xludf.DUMMYFUNCTION("GOOGLETRANSLATE(B41, ""en"", ""pl"")"),"Dzięki wyższym statystykom rzemieślniczym wykonane przedmioty mają zwiększoną ilość lub trwałość.")</f>
        <v>Dzięki wyższym statystykom rzemieślniczym wykonane przedmioty mają zwiększoną ilość lub trwałość.</v>
      </c>
      <c r="J41" s="25" t="str">
        <f>IFERROR(__xludf.DUMMYFUNCTION("GOOGLETRANSLATE(B41, ""en"", ""zh"")"),"使用较高的制作统计数据，制作的物品的数量或耐用性增加。")</f>
        <v>使用较高的制作统计数据，制作的物品的数量或耐用性增加。</v>
      </c>
      <c r="K41" s="25" t="str">
        <f>IFERROR(__xludf.DUMMYFUNCTION("GOOGLETRANSLATE(B41, ""en"", ""vi"")"),"Với số liệu thống kê chế tạo cao hơn, các mặt hàng được chế tạo đã tăng số lượng hoặc độ bền.")</f>
        <v>Với số liệu thống kê chế tạo cao hơn, các mặt hàng được chế tạo đã tăng số lượng hoặc độ bền.</v>
      </c>
      <c r="L41" s="23" t="str">
        <f>IFERROR(__xludf.DUMMYFUNCTION("GOOGLETRANSLATE(B41, ""en"", ""hr"")"),"S višim statistikama za izradu, izrađeni predmeti imaju povećanu količinu ili izdržljivost.")</f>
        <v>S višim statistikama za izradu, izrađeni predmeti imaju povećanu količinu ili izdržljivost.</v>
      </c>
      <c r="M41" s="23"/>
      <c r="N41" s="26"/>
      <c r="O41" s="26"/>
      <c r="P41" s="26"/>
      <c r="Q41" s="26"/>
      <c r="R41" s="26"/>
      <c r="S41" s="26"/>
      <c r="T41" s="26"/>
      <c r="U41" s="26"/>
      <c r="V41" s="26"/>
      <c r="W41" s="26"/>
      <c r="X41" s="26"/>
      <c r="Y41" s="26"/>
      <c r="Z41" s="26"/>
      <c r="AA41" s="26"/>
      <c r="AB41" s="26"/>
    </row>
    <row r="42">
      <c r="A42" s="21" t="s">
        <v>144</v>
      </c>
      <c r="B42" s="22" t="s">
        <v>145</v>
      </c>
      <c r="C42" s="23" t="s">
        <v>146</v>
      </c>
      <c r="D42" s="23" t="str">
        <f>IFERROR(__xludf.DUMMYFUNCTION("GOOGLETRANSLATE(B42, ""en"", ""es"")"),"Únase al servidor Discord para obtener ayuda, comercio o hacer sugerencias.")</f>
        <v>Únase al servidor Discord para obtener ayuda, comercio o hacer sugerencias.</v>
      </c>
      <c r="E42" s="23" t="str">
        <f>IFERROR(__xludf.DUMMYFUNCTION("GOOGLETRANSLATE(B42, ""en"", ""ru"")"),"Присоединяйтесь к серверу Discord, чтобы получить помощь, обмен или предложения.")</f>
        <v>Присоединяйтесь к серверу Discord, чтобы получить помощь, обмен или предложения.</v>
      </c>
      <c r="F42" s="23" t="str">
        <f>IFERROR(__xludf.DUMMYFUNCTION("GOOGLETRANSLATE(B42, ""en"", ""tr"")"),"Yardım almak, ticaret yapmak veya önerilerde bulunmak için Discord sunucusuna katılın.")</f>
        <v>Yardım almak, ticaret yapmak veya önerilerde bulunmak için Discord sunucusuna katılın.</v>
      </c>
      <c r="G42" s="23" t="str">
        <f>IFERROR(__xludf.DUMMYFUNCTION("GOOGLETRANSLATE(B42, ""en"", ""pt"")"),"Junte -se ao servidor Discord para obter ajuda, negociar ou fazer sugestões.")</f>
        <v>Junte -se ao servidor Discord para obter ajuda, negociar ou fazer sugestões.</v>
      </c>
      <c r="H42" s="24" t="str">
        <f>IFERROR(__xludf.DUMMYFUNCTION("GOOGLETRANSLATE(B42, ""en"", ""de"")"),"Treten Sie dem Discord -Server bei, um Hilfe zu erhalten, zu handeln oder Vorschläge zu machen.")</f>
        <v>Treten Sie dem Discord -Server bei, um Hilfe zu erhalten, zu handeln oder Vorschläge zu machen.</v>
      </c>
      <c r="I42" s="23" t="str">
        <f>IFERROR(__xludf.DUMMYFUNCTION("GOOGLETRANSLATE(B42, ""en"", ""pl"")"),"Dołącz do serwera Discord, aby uzyskać pomoc, wymienić lub sugerować.")</f>
        <v>Dołącz do serwera Discord, aby uzyskać pomoc, wymienić lub sugerować.</v>
      </c>
      <c r="J42" s="25" t="str">
        <f>IFERROR(__xludf.DUMMYFUNCTION("GOOGLETRANSLATE(B42, ""en"", ""zh"")"),"加入Discord服务器以获取帮助，交易或提出建议。")</f>
        <v>加入Discord服务器以获取帮助，交易或提出建议。</v>
      </c>
      <c r="K42" s="25" t="str">
        <f>IFERROR(__xludf.DUMMYFUNCTION("GOOGLETRANSLATE(B42, ""en"", ""vi"")"),"Tham gia máy chủ Discord để nhận trợ giúp, giao dịch hoặc đưa ra đề xuất.")</f>
        <v>Tham gia máy chủ Discord để nhận trợ giúp, giao dịch hoặc đưa ra đề xuất.</v>
      </c>
      <c r="L42" s="23" t="str">
        <f>IFERROR(__xludf.DUMMYFUNCTION("GOOGLETRANSLATE(B42, ""en"", ""hr"")"),"Pridružite se poslužitelju Discord kako biste dobili pomoć, trgovinu ili davali prijedloge.")</f>
        <v>Pridružite se poslužitelju Discord kako biste dobili pomoć, trgovinu ili davali prijedloge.</v>
      </c>
      <c r="M42" s="23"/>
      <c r="N42" s="26"/>
      <c r="O42" s="26"/>
      <c r="P42" s="26"/>
      <c r="Q42" s="26"/>
      <c r="R42" s="26"/>
      <c r="S42" s="26"/>
      <c r="T42" s="26"/>
      <c r="U42" s="26"/>
      <c r="V42" s="26"/>
      <c r="W42" s="26"/>
      <c r="X42" s="26"/>
      <c r="Y42" s="26"/>
      <c r="Z42" s="26"/>
      <c r="AA42" s="26"/>
      <c r="AB42" s="26"/>
    </row>
    <row r="43">
      <c r="A43" s="21" t="s">
        <v>147</v>
      </c>
      <c r="B43" s="22" t="s">
        <v>148</v>
      </c>
      <c r="C43" s="23" t="str">
        <f>IFERROR(__xludf.DUMMYFUNCTION("GOOGLETRANSLATE(B43, ""en"", ""fr"")"),"Certains donjons ont des salles bonus avec un butin supplémentaire qui ne peut être accessible que lorsque d'autres portes verrouillées sont ouvertes dans un ordre spécifique.")</f>
        <v>Certains donjons ont des salles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a las que solo se puede acceder cuando se abren otras puertas cerradas en un orden específico.")</f>
        <v>Algunas mazmorras tienen salas de bonificación con botín adicional a las que solo se puede acceder cuando se abren otras puertas cerradas en un orden específico.</v>
      </c>
      <c r="E43" s="23" t="str">
        <f>IFERROR(__xludf.DUMMYFUNCTION("GOOGLETRANSLATE(B43, ""en"", ""ru"")"),"В некоторых подземельях есть бонусные номера с дополнительной добычей, к которой можно получить доступ только тогда, когда другие запертые двери открываются в определенном порядке.")</f>
        <v>В некоторых подземельях есть бонусные номера с дополнительной добычей, к которой можно получить доступ только тогда, когда другие запертые двери открываются в определенном порядке.</v>
      </c>
      <c r="F43" s="23" t="str">
        <f>IFERROR(__xludf.DUMMYFUNCTION("GOOGLETRANSLATE(B43, ""en"", ""tr"")"),"Bazı zindanların, yalnızca diğer kilitli kapılara belirli bir sırada açıldığında erişilebilen ekstra yağma ile bonus odaları vardır.")</f>
        <v>Bazı zindanların, yalnızca diğer kilitli kapılara belirli bir sırada açıldığında erişilebilen ekstra yağma ile bonus odaları vardır.</v>
      </c>
      <c r="G43" s="23" t="str">
        <f>IFERROR(__xludf.DUMMYFUNCTION("GOOGLETRANSLATE(B43, ""en"", ""pt"")"),"Algumas masmorras têm salas de bônus com itens extras que só podem ser acessados ​​quando outras portas trancadas são abertas em uma ordem específica.")</f>
        <v>Algumas masmorras têm salas de bônus com itens extras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verschlossene Türen in einer bestimmten Reihenfolge geöffnet werden.")</f>
        <v>Einige Dungeons verfügen über Bonusräume mit zusätzlicher Beute, auf die nur zugegriffen werden kann, wenn andere verschlossene Türen in einer bestimmten Reihenfolge geöffnet werden.</v>
      </c>
      <c r="I43" s="23" t="str">
        <f>IFERROR(__xludf.DUMMYFUNCTION("GOOGLETRANSLATE(B43, ""en"", ""pl"")"),"Niektóre lochy mają pokoje dodatkowe z dodatkowymi łupami, do których można uzyskać dostęp tylko wtedy, gdy inne zamknięte drzwi są otwarte w określonej kolejności.")</f>
        <v>Niektóre lochy mają pokoje dodatkowe z dodatkowymi łupami, do których można uzyskać dostęp tylko wtedy, gdy inne zamknięte drzwi są otwarte w określonej kolejności.</v>
      </c>
      <c r="J43" s="25" t="str">
        <f>IFERROR(__xludf.DUMMYFUNCTION("GOOGLETRANSLATE(B43, ""en"", ""zh"")"),"一些地牢有带有额外战利品的奖励室，只有在其他锁定门以特定顺序打开时才能访问。")</f>
        <v>一些地牢有带有额外战利品的奖励室，只有在其他锁定门以特定顺序打开时才能访问。</v>
      </c>
      <c r="K43" s="25" t="str">
        <f>IFERROR(__xludf.DUMMYFUNCTION("GOOGLETRANSLATE(B43, ""en"", ""vi"")"),"Một số ngục tối có phòng thưởng với các loot thêm chỉ có thể được truy cập khi các cửa bị khóa khác được mở theo một thứ tự cụ thể.")</f>
        <v>Một số ngục tối có phòng thưởng với các loot thêm chỉ có thể được truy cập khi các cửa bị khóa khác được mở theo một thứ tự cụ thể.</v>
      </c>
      <c r="L43" s="23" t="str">
        <f>IFERROR(__xludf.DUMMYFUNCTION("GOOGLETRANSLATE(B43, ""en"", ""hr"")"),"Neke tamnice imaju bonus sobe s dodatnim plijenom kojima se može pristupiti samo kad se otvorena zaključana vrata otvore određenom redoslijedom.")</f>
        <v>Neke tamnice imaju bonus sobe s dodatnim plijenom kojima se može pristupiti samo kad se otvorena zaključana vrata otvore određenom redoslijedom.</v>
      </c>
      <c r="M43" s="23"/>
      <c r="N43" s="26"/>
      <c r="O43" s="26"/>
      <c r="P43" s="26"/>
      <c r="Q43" s="26"/>
      <c r="R43" s="26"/>
      <c r="S43" s="26"/>
      <c r="T43" s="26"/>
      <c r="U43" s="26"/>
      <c r="V43" s="26"/>
      <c r="W43" s="26"/>
      <c r="X43" s="26"/>
      <c r="Y43" s="26"/>
      <c r="Z43" s="26"/>
      <c r="AA43" s="26"/>
      <c r="AB43" s="26"/>
    </row>
    <row r="44">
      <c r="A44" s="21" t="s">
        <v>149</v>
      </c>
      <c r="B44" s="22" t="s">
        <v>150</v>
      </c>
      <c r="C44" s="23" t="s">
        <v>151</v>
      </c>
      <c r="D44" s="23" t="str">
        <f>IFERROR(__xludf.DUMMYFUNCTION("GOOGLETRANSLATE(B44, ""en"", ""es"")"),"Los blueCaps se pueden encontrar al lado del agua.")</f>
        <v>Los blueCaps se pueden encontrar al lado del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""pt"")"),"O Bluecaps pode ser encontrado ao lado da água.")</f>
        <v>O Bluecaps pode ser encontrado ao lado da água.</v>
      </c>
      <c r="H44" s="24" t="str">
        <f>IFERROR(__xludf.DUMMYFUNCTION("GOOGLETRANSLATE(B44, ""en"", ""de"")"),"Bluecaps finden Sie neben Wasser.")</f>
        <v>Bluecaps finden Sie neben Wasser.</v>
      </c>
      <c r="I44" s="23" t="str">
        <f>IFERROR(__xludf.DUMMYFUNCTION("GOOGLETRANSLATE(B44, ""en"", ""pl"")"),"Bluecaps można znaleźć obok wody.")</f>
        <v>Bluecaps można znaleźć obok wody.</v>
      </c>
      <c r="J44" s="25" t="str">
        <f>IFERROR(__xludf.DUMMYFUNCTION("GOOGLETRANSLATE(B44, ""en"", ""zh"")"),"可以在水旁边找到蓝调。")</f>
        <v>可以在水旁边找到蓝调。</v>
      </c>
      <c r="K44" s="25" t="str">
        <f>IFERROR(__xludf.DUMMYFUNCTION("GOOGLETRANSLATE(B44, ""en"", ""vi"")"),"BlueCaps có thể được tìm thấy bên cạnh nước.")</f>
        <v>BlueCaps có thể được tìm thấy bên cạnh nước.</v>
      </c>
      <c r="L44" s="23" t="str">
        <f>IFERROR(__xludf.DUMMYFUNCTION("GOOGLETRANSLATE(B44, ""en"", ""hr"")"),"Bluecaps se može naći pored vode.")</f>
        <v>Bluecaps se može naći pored vode.</v>
      </c>
      <c r="M44" s="23"/>
      <c r="N44" s="26"/>
      <c r="O44" s="26"/>
      <c r="P44" s="26"/>
      <c r="Q44" s="26"/>
      <c r="R44" s="26"/>
      <c r="S44" s="26"/>
      <c r="T44" s="26"/>
      <c r="U44" s="26"/>
      <c r="V44" s="26"/>
      <c r="W44" s="26"/>
      <c r="X44" s="26"/>
      <c r="Y44" s="26"/>
      <c r="Z44" s="26"/>
      <c r="AA44" s="26"/>
      <c r="AB44" s="26"/>
    </row>
    <row r="45">
      <c r="A45" s="21" t="s">
        <v>152</v>
      </c>
      <c r="B45" s="22" t="s">
        <v>153</v>
      </c>
      <c r="C45" s="23" t="s">
        <v>154</v>
      </c>
      <c r="D45" s="23" t="str">
        <f>IFERROR(__xludf.DUMMYFUNCTION("GOOGLETRANSLATE(B45, ""en"", ""es"")"),"Los rojas se pueden encontrar en las cuevas.")</f>
        <v>Los rojas se pueden encontrar en las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""zh"")"),"可以在洞穴中找到红色胶囊。")</f>
        <v>可以在洞穴中找到红色胶囊。</v>
      </c>
      <c r="K45" s="25" t="str">
        <f>IFERROR(__xludf.DUMMYFUNCTION("GOOGLETRANSLATE(B45, ""en"", ""vi"")"),"Redcaps có thể được tìm thấy trong hang động.")</f>
        <v>Redcaps có thể được tìm thấy trong hang động.</v>
      </c>
      <c r="L45" s="23" t="str">
        <f>IFERROR(__xludf.DUMMYFUNCTION("GOOGLETRANSLATE(B45, ""en"", ""hr"")"),"Redcaps se može naći u špiljama.")</f>
        <v>Redcaps se može naći u špiljama.</v>
      </c>
      <c r="M45" s="23"/>
      <c r="N45" s="26"/>
      <c r="O45" s="26"/>
      <c r="P45" s="26"/>
      <c r="Q45" s="26"/>
      <c r="R45" s="26"/>
      <c r="S45" s="26"/>
      <c r="T45" s="26"/>
      <c r="U45" s="26"/>
      <c r="V45" s="26"/>
      <c r="W45" s="26"/>
      <c r="X45" s="26"/>
      <c r="Y45" s="26"/>
      <c r="Z45" s="26"/>
      <c r="AA45" s="26"/>
      <c r="AB45" s="26"/>
    </row>
    <row r="46">
      <c r="A46" s="21" t="s">
        <v>155</v>
      </c>
      <c r="B46" s="22" t="s">
        <v>156</v>
      </c>
      <c r="C46" s="23" t="s">
        <v>157</v>
      </c>
      <c r="D46" s="23" t="str">
        <f>IFERROR(__xludf.DUMMYFUNCTION("GOOGLETRANSLATE(B46, ""en"", ""es"")"),"Cuando se mata a una criatura, todos los cercanos reciben gloria y progreso de la tarea como si la mataran solo.")</f>
        <v>Cuando se mata a una criatura, todos los cercanos reciben gloria y progreso de la tarea como si la mataran solo.</v>
      </c>
      <c r="E46" s="23" t="str">
        <f>IFERROR(__xludf.DUMMYFUNCTION("GOOGLETRANSLATE(B46, ""en"", ""ru"")"),"Когда существо убито, все поблизости получают славу и прогресс задачи, как будто они убивали его в одиночку.")</f>
        <v>Когда существо убито, все поблизости получают славу и прогресс задачи, как будто они убивали его в одиночку.</v>
      </c>
      <c r="F46" s="23" t="str">
        <f>IFERROR(__xludf.DUMMYFUNCTION("GOOGLETRANSLATE(B46, ""en"", ""tr"")"),"Bir yaratık öldürüldüğünde, yakındaki herkes zafer ve görev ilerlemesini tek başına öldürüyormuş gibi alır.")</f>
        <v>Bir yaratık öldürüldüğünde, yakındaki herkes zafer ve görev ilerlemesini tek başına öldürüyormuş gibi alır.</v>
      </c>
      <c r="G46" s="23" t="str">
        <f>IFERROR(__xludf.DUMMYFUNCTION("GOOGLETRANSLATE(B46, ""en"", ""pt"")"),"Quando uma criatura é morta, todo mundo por perto recebe glória e tarefa progredindo como se a matasse sozinha.")</f>
        <v>Quando uma criatura é morta, todo mundo por perto recebe glória e tarefa progredindo como se a matasse sozinha.</v>
      </c>
      <c r="H46" s="24" t="str">
        <f>IFERROR(__xludf.DUMMYFUNCTION("GOOGLETRANSLATE(B46, ""en"", ""de"")"),"Wenn eine Kreatur getötet wird, erhält jeder in der Nähe Ruhm und Aufgabenfortschritt, als ob sie sie allein getötet hätten.")</f>
        <v>Wenn eine Kreatur getötet wird, erhält jeder in der Nähe Ruhm und Aufgabenfortschritt, als ob sie sie allein getötet hätten.</v>
      </c>
      <c r="I46" s="23" t="str">
        <f>IFERROR(__xludf.DUMMYFUNCTION("GOOGLETRANSLATE(B46, ""en"", ""pl"")"),"Kiedy stworzenie zostaje zabite, wszyscy w pobliżu otrzymują chwałę i postęp zadania, jakby zabili ją sam.")</f>
        <v>Kiedy stworzenie zostaje zabite, wszyscy w pobliżu otrzymują chwałę i postęp zadania, jakby zabili ją sam.</v>
      </c>
      <c r="J46" s="25" t="str">
        <f>IFERROR(__xludf.DUMMYFUNCTION("GOOGLETRANSLATE(B46, ""en"", ""zh"")"),"当一个生物被杀死时，附近的每个人都会获得荣耀和任务的进展，就好像他们独自杀死了它一样。")</f>
        <v>当一个生物被杀死时，附近的每个人都会获得荣耀和任务的进展，就好像他们独自杀死了它一样。</v>
      </c>
      <c r="K46" s="25" t="str">
        <f>IFERROR(__xludf.DUMMYFUNCTION("GOOGLETRANSLATE(B46, ""en"", ""vi"")"),"Khi một sinh vật bị giết, mọi người gần đó đều nhận được sự tiến bộ vinh quang và nhiệm vụ như thể họ đã giết nó một mình.")</f>
        <v>Khi một sinh vật bị giết, mọi người gần đó đều nhận được sự tiến bộ vinh quang và nhiệm vụ như thể họ đã giết nó một mình.</v>
      </c>
      <c r="L46" s="23" t="str">
        <f>IFERROR(__xludf.DUMMYFUNCTION("GOOGLETRANSLATE(B46, ""en"", ""hr"")"),"Kad je stvorenje ubijeno, svi u blizini dobivaju slavu i zadatak napreduju kao da su ga ubijali sami.")</f>
        <v>Kad je stvorenje ubijeno, svi u blizini dobivaju slavu i zadatak napreduju kao da su ga ubijali sami.</v>
      </c>
      <c r="M46" s="23"/>
      <c r="N46" s="26"/>
      <c r="O46" s="26"/>
      <c r="P46" s="26"/>
      <c r="Q46" s="26"/>
      <c r="R46" s="26"/>
      <c r="S46" s="26"/>
      <c r="T46" s="26"/>
      <c r="U46" s="26"/>
      <c r="V46" s="26"/>
      <c r="W46" s="26"/>
      <c r="X46" s="26"/>
      <c r="Y46" s="26"/>
      <c r="Z46" s="26"/>
      <c r="AA46" s="26"/>
      <c r="AB46" s="26"/>
    </row>
    <row r="47">
      <c r="A47" s="21" t="s">
        <v>158</v>
      </c>
      <c r="B47" s="22" t="s">
        <v>158</v>
      </c>
      <c r="C47" s="23" t="s">
        <v>159</v>
      </c>
      <c r="D47" s="23" t="str">
        <f>IFERROR(__xludf.DUMMYFUNCTION("GOOGLETRANSLATE(B47, ""en"", ""es"")"),"Comprar")</f>
        <v>Comprar</v>
      </c>
      <c r="E47" s="23" t="str">
        <f>IFERROR(__xludf.DUMMYFUNCTION("GOOGLETRANSLATE(B47, ""en"", ""ru"")"),"Купить")</f>
        <v>Купить</v>
      </c>
      <c r="F47" s="23" t="str">
        <f>IFERROR(__xludf.DUMMYFUNCTION("GOOGLETRANSLATE(B47, ""en"", ""tr"")"),"Satın almak")</f>
        <v>Satın almak</v>
      </c>
      <c r="G47" s="23" t="str">
        <f>IFERROR(__xludf.DUMMYFUNCTION("GOOGLETRANSLATE(B47, ""en"", ""pt"")"),"Comprar")</f>
        <v>Comprar</v>
      </c>
      <c r="H47" s="24" t="str">
        <f>IFERROR(__xludf.DUMMYFUNCTION("GOOGLETRANSLATE(B47, ""en"", ""de"")"),"Besorgen")</f>
        <v>Besorgen</v>
      </c>
      <c r="I47" s="23" t="str">
        <f>IFERROR(__xludf.DUMMYFUNCTION("GOOGLETRANSLATE(B47, ""en"", ""pl"")"),"Kup")</f>
        <v>Kup</v>
      </c>
      <c r="J47" s="25" t="str">
        <f>IFERROR(__xludf.DUMMYFUNCTION("GOOGLETRANSLATE(B47, ""en"", ""zh"")"),"买")</f>
        <v>买</v>
      </c>
      <c r="K47" s="25" t="str">
        <f>IFERROR(__xludf.DUMMYFUNCTION("GOOGLETRANSLATE(B47, ""en"", ""vi"")"),"Mua")</f>
        <v>Mua</v>
      </c>
      <c r="L47" s="23" t="str">
        <f>IFERROR(__xludf.DUMMYFUNCTION("GOOGLETRANSLATE(B47, ""en"", ""hr"")"),"Kupiti")</f>
        <v>Kupiti</v>
      </c>
      <c r="M47" s="23"/>
      <c r="N47" s="26"/>
      <c r="O47" s="26"/>
      <c r="P47" s="26"/>
      <c r="Q47" s="26"/>
      <c r="R47" s="26"/>
      <c r="S47" s="26"/>
      <c r="T47" s="26"/>
      <c r="U47" s="26"/>
      <c r="V47" s="26"/>
      <c r="W47" s="26"/>
      <c r="X47" s="26"/>
      <c r="Y47" s="26"/>
      <c r="Z47" s="26"/>
      <c r="AA47" s="26"/>
      <c r="AB47" s="26"/>
    </row>
    <row r="48">
      <c r="A48" s="21" t="s">
        <v>160</v>
      </c>
      <c r="B48" s="22" t="s">
        <v>160</v>
      </c>
      <c r="C48" s="23" t="s">
        <v>161</v>
      </c>
      <c r="D48" s="23" t="str">
        <f>IFERROR(__xludf.DUMMYFUNCTION("GOOGLETRANSLATE(B48, ""en"", ""es"")"),"Aceptar")</f>
        <v>Aceptar</v>
      </c>
      <c r="E48" s="23" t="str">
        <f>IFERROR(__xludf.DUMMYFUNCTION("GOOGLETRANSLATE(B48, ""en"", ""ru"")"),"Принимать")</f>
        <v>Принимать</v>
      </c>
      <c r="F48" s="23" t="str">
        <f>IFERROR(__xludf.DUMMYFUNCTION("GOOGLETRANSLATE(B48, ""en"", ""tr"")"),"Kabul")</f>
        <v>Kabul</v>
      </c>
      <c r="G48" s="23" t="str">
        <f>IFERROR(__xludf.DUMMYFUNCTION("GOOGLETRANSLATE(B48, ""en"", ""pt"")"),"Aceitar")</f>
        <v>Aceitar</v>
      </c>
      <c r="H48" s="24" t="str">
        <f>IFERROR(__xludf.DUMMYFUNCTION("GOOGLETRANSLATE(B48, ""en"", ""de"")"),"Annehmen")</f>
        <v>Annehmen</v>
      </c>
      <c r="I48" s="23" t="str">
        <f>IFERROR(__xludf.DUMMYFUNCTION("GOOGLETRANSLATE(B48, ""en"", ""pl"")"),"Zaakceptować")</f>
        <v>Zaakceptować</v>
      </c>
      <c r="J48" s="25" t="str">
        <f>IFERROR(__xludf.DUMMYFUNCTION("GOOGLETRANSLATE(B48, ""en"", ""zh"")"),"接受")</f>
        <v>接受</v>
      </c>
      <c r="K48" s="25" t="str">
        <f>IFERROR(__xludf.DUMMYFUNCTION("GOOGLETRANSLATE(B48, ""en"", ""vi"")"),"Chấp nhận")</f>
        <v>Chấp nhận</v>
      </c>
      <c r="L48" s="23" t="str">
        <f>IFERROR(__xludf.DUMMYFUNCTION("GOOGLETRANSLATE(B48, ""en"", ""hr"")"),"Prihvatiti")</f>
        <v>Prihvatiti</v>
      </c>
      <c r="M48" s="23"/>
      <c r="N48" s="26"/>
      <c r="O48" s="26"/>
      <c r="P48" s="26"/>
      <c r="Q48" s="26"/>
      <c r="R48" s="26"/>
      <c r="S48" s="26"/>
      <c r="T48" s="26"/>
      <c r="U48" s="26"/>
      <c r="V48" s="26"/>
      <c r="W48" s="26"/>
      <c r="X48" s="26"/>
      <c r="Y48" s="26"/>
      <c r="Z48" s="26"/>
      <c r="AA48" s="26"/>
      <c r="AB48" s="26"/>
    </row>
    <row r="49">
      <c r="A49" s="21" t="s">
        <v>162</v>
      </c>
      <c r="B49" s="22" t="s">
        <v>162</v>
      </c>
      <c r="C49" s="23" t="s">
        <v>163</v>
      </c>
      <c r="D49" s="23" t="str">
        <f>IFERROR(__xludf.DUMMYFUNCTION("GOOGLETRANSLATE(B49, ""en"", ""es"")"),"Espectáculo")</f>
        <v>Espectáculo</v>
      </c>
      <c r="E49" s="23" t="str">
        <f>IFERROR(__xludf.DUMMYFUNCTION("GOOGLETRANSLATE(B49, ""en"", ""ru"")"),"Показывать")</f>
        <v>Показывать</v>
      </c>
      <c r="F49" s="23" t="str">
        <f>IFERROR(__xludf.DUMMYFUNCTION("GOOGLETRANSLATE(B49, ""en"", ""tr"")"),"Göstermek")</f>
        <v>Göstermek</v>
      </c>
      <c r="G49" s="23" t="str">
        <f>IFERROR(__xludf.DUMMYFUNCTION("GOOGLETRANSLATE(B49, ""en"", ""pt"")"),"mostrar")</f>
        <v>mostrar</v>
      </c>
      <c r="H49" s="24" t="str">
        <f>IFERROR(__xludf.DUMMYFUNCTION("GOOGLETRANSLATE(B49, ""en"", ""de"")"),"Zeigen")</f>
        <v>Zeigen</v>
      </c>
      <c r="I49" s="23" t="str">
        <f>IFERROR(__xludf.DUMMYFUNCTION("GOOGLETRANSLATE(B49, ""en"", ""pl"")"),"Pokazać")</f>
        <v>Pokazać</v>
      </c>
      <c r="J49" s="25" t="str">
        <f>IFERROR(__xludf.DUMMYFUNCTION("GOOGLETRANSLATE(B49, ""en"", ""zh"")"),"节目")</f>
        <v>节目</v>
      </c>
      <c r="K49" s="25" t="str">
        <f>IFERROR(__xludf.DUMMYFUNCTION("GOOGLETRANSLATE(B49, ""en"", ""vi"")"),"Trình diễn")</f>
        <v>Trình diễn</v>
      </c>
      <c r="L49" s="23" t="str">
        <f>IFERROR(__xludf.DUMMYFUNCTION("GOOGLETRANSLATE(B49, ""en"", ""hr"")"),"Pokazati")</f>
        <v>Pokazati</v>
      </c>
      <c r="M49" s="23"/>
      <c r="N49" s="26"/>
      <c r="O49" s="26"/>
      <c r="P49" s="26"/>
      <c r="Q49" s="26"/>
      <c r="R49" s="26"/>
      <c r="S49" s="26"/>
      <c r="T49" s="26"/>
      <c r="U49" s="26"/>
      <c r="V49" s="26"/>
      <c r="W49" s="26"/>
      <c r="X49" s="26"/>
      <c r="Y49" s="26"/>
      <c r="Z49" s="26"/>
      <c r="AA49" s="26"/>
      <c r="AB49" s="26"/>
    </row>
    <row r="50">
      <c r="A50" s="21" t="s">
        <v>164</v>
      </c>
      <c r="B50" s="22" t="s">
        <v>165</v>
      </c>
      <c r="C50" s="23" t="s">
        <v>166</v>
      </c>
      <c r="D50" s="23" t="str">
        <f>IFERROR(__xludf.DUMMYFUNCTION("GOOGLETRANSLATE(B50, ""en"", ""es"")"),"Aprenda más sobre el juego en la wiki")</f>
        <v>Aprenda más sobre el juego en la wiki</v>
      </c>
      <c r="E50" s="23" t="str">
        <f>IFERROR(__xludf.DUMMYFUNCTION("GOOGLETRANSLATE(B50, ""en"", ""ru"")"),"Узнайте больше об игре на вики")</f>
        <v>Узнайте больше об игре на вики</v>
      </c>
      <c r="F50" s="23" t="str">
        <f>IFERROR(__xludf.DUMMYFUNCTION("GOOGLETRANSLATE(B50, ""en"", ""tr"")"),"Wiki'deki oyun hakkında daha fazla bilgi edinin")</f>
        <v>Wiki'deki oyun hakkında daha fazla bilgi edinin</v>
      </c>
      <c r="G50" s="23" t="str">
        <f>IFERROR(__xludf.DUMMYFUNCTION("GOOGLETRANSLATE(B50, ""en"", ""pt"")"),"Saiba mais sobre o jogo no wiki")</f>
        <v>Saiba mais sobre o jogo no wiki</v>
      </c>
      <c r="H50" s="24" t="str">
        <f>IFERROR(__xludf.DUMMYFUNCTION("GOOGLETRANSLATE(B50, ""en"", ""de"")"),"Erfahren Sie mehr über das Spiel auf dem Wiki")</f>
        <v>Erfahren Sie mehr über das Spiel auf dem Wiki</v>
      </c>
      <c r="I50" s="23" t="str">
        <f>IFERROR(__xludf.DUMMYFUNCTION("GOOGLETRANSLATE(B50, ""en"", ""pl"")"),"Dowiedz się więcej o grze na Wiki")</f>
        <v>Dowiedz się więcej o grze na Wiki</v>
      </c>
      <c r="J50" s="25" t="str">
        <f>IFERROR(__xludf.DUMMYFUNCTION("GOOGLETRANSLATE(B50, ""en"", ""zh"")"),"在Wiki上了解有关游戏的更多信息")</f>
        <v>在Wiki上了解有关游戏的更多信息</v>
      </c>
      <c r="K50" s="25" t="str">
        <f>IFERROR(__xludf.DUMMYFUNCTION("GOOGLETRANSLATE(B50, ""en"", ""vi"")"),"Tìm hiểu thêm về trò chơi trên wiki")</f>
        <v>Tìm hiểu thêm về trò chơi trên wiki</v>
      </c>
      <c r="L50" s="23" t="str">
        <f>IFERROR(__xludf.DUMMYFUNCTION("GOOGLETRANSLATE(B50, ""en"", ""hr"")"),"Saznajte više o igri na wikiju")</f>
        <v>Saznajte više o igri na wikiju</v>
      </c>
      <c r="M50" s="23"/>
      <c r="N50" s="26"/>
      <c r="O50" s="26"/>
      <c r="P50" s="26"/>
      <c r="Q50" s="26"/>
      <c r="R50" s="26"/>
      <c r="S50" s="26"/>
      <c r="T50" s="26"/>
      <c r="U50" s="26"/>
      <c r="V50" s="26"/>
      <c r="W50" s="26"/>
      <c r="X50" s="26"/>
      <c r="Y50" s="26"/>
      <c r="Z50" s="26"/>
      <c r="AA50" s="26"/>
      <c r="AB50" s="26"/>
    </row>
    <row r="51">
      <c r="A51" s="21" t="s">
        <v>167</v>
      </c>
      <c r="B51" s="22" t="s">
        <v>168</v>
      </c>
      <c r="C51" s="23" t="s">
        <v>169</v>
      </c>
      <c r="D51" s="23" t="str">
        <f>IFERROR(__xludf.DUMMYFUNCTION("GOOGLETRANSLATE(B51, ""en"", ""es"")"),"Chatear con otros jugadores en Discord")</f>
        <v>Chatear con otros jugadores en Discord</v>
      </c>
      <c r="E51" s="23" t="str">
        <f>IFERROR(__xludf.DUMMYFUNCTION("GOOGLETRANSLATE(B51, ""en"", ""ru"")"),"Общаться с другими игроками в Discord")</f>
        <v>Общаться с другими игроками в Discord</v>
      </c>
      <c r="F51" s="23" t="str">
        <f>IFERROR(__xludf.DUMMYFUNCTION("GOOGLETRANSLATE(B51, ""en"", ""tr"")"),"Discord'da diğer oyuncularla sohbet edin")</f>
        <v>Discord'da diğer oyuncularla sohbet edin</v>
      </c>
      <c r="G51" s="23" t="str">
        <f>IFERROR(__xludf.DUMMYFUNCTION("GOOGLETRANSLATE(B51, ""en"", ""pt"")"),"Converse com outros jogadores na discórdia")</f>
        <v>Converse com outros jogadores na discórdia</v>
      </c>
      <c r="H51" s="24" t="str">
        <f>IFERROR(__xludf.DUMMYFUNCTION("GOOGLETRANSLATE(B51, ""en"", ""de"")"),"Chatten Sie mit anderen Spielern auf Zwietracht")</f>
        <v>Chatten Sie mit anderen Spielern auf Zwietracht</v>
      </c>
      <c r="I51" s="23" t="str">
        <f>IFERROR(__xludf.DUMMYFUNCTION("GOOGLETRANSLATE(B51, ""en"", ""pl"")"),"Porozmawiaj z innymi graczami na Discord")</f>
        <v>Porozmawiaj z innymi graczami na Discord</v>
      </c>
      <c r="J51" s="25" t="str">
        <f>IFERROR(__xludf.DUMMYFUNCTION("GOOGLETRANSLATE(B51, ""en"", ""zh"")"),"与Discord上的其他玩家聊天")</f>
        <v>与Discord上的其他玩家聊天</v>
      </c>
      <c r="K51" s="25" t="str">
        <f>IFERROR(__xludf.DUMMYFUNCTION("GOOGLETRANSLATE(B51, ""en"", ""vi"")"),"Trò chuyện với những người chơi khác trên Discord")</f>
        <v>Trò chuyện với những người chơi khác trên Discord</v>
      </c>
      <c r="L51" s="23" t="str">
        <f>IFERROR(__xludf.DUMMYFUNCTION("GOOGLETRANSLATE(B51, ""en"", ""hr"")"),"Razgovarajte s drugim igračima na neslaganju")</f>
        <v>Razgovarajte s drugim igračima na neslaganju</v>
      </c>
      <c r="M51" s="23"/>
      <c r="N51" s="26"/>
      <c r="O51" s="26"/>
      <c r="P51" s="26"/>
      <c r="Q51" s="26"/>
      <c r="R51" s="26"/>
      <c r="S51" s="26"/>
      <c r="T51" s="26"/>
      <c r="U51" s="26"/>
      <c r="V51" s="26"/>
      <c r="W51" s="26"/>
      <c r="X51" s="26"/>
      <c r="Y51" s="26"/>
      <c r="Z51" s="26"/>
      <c r="AA51" s="26"/>
      <c r="AB51" s="26"/>
    </row>
    <row r="52">
      <c r="A52" s="21" t="s">
        <v>170</v>
      </c>
      <c r="B52" s="22" t="s">
        <v>171</v>
      </c>
      <c r="C52" s="23" t="s">
        <v>172</v>
      </c>
      <c r="D52" s="23" t="str">
        <f>IFERROR(__xludf.DUMMYFUNCTION("GOOGLETRANSLATE(B52, ""en"", ""es"")"),"~ Comando inválido ~
Tipo / seguido de R, G, B o Y
Para cambiar el color de chat.")</f>
        <v>~ Comando inválido ~
Tipo / seguido de R, G, B o Y
Para cambiar el color de chat.</v>
      </c>
      <c r="E52" s="23" t="str">
        <f>IFERROR(__xludf.DUMMYFUNCTION("GOOGLETRANSLATE(B52, ""en"", ""ru"")"),"~ Неверная команда ~
Тип / с последующим R, G, B или Y
Чтобы изменить цвет чата.")</f>
        <v>~ Неверная команда ~
Тип / с последующим R, G, B или Y
Чтобы изменить цвет чата.</v>
      </c>
      <c r="F52" s="23" t="str">
        <f>IFERROR(__xludf.DUMMYFUNCTION("GOOGLETRANSLATE(B52, ""en"", ""tr"")"),"~ Geçersiz komut ~
Tip / ardından R, G, B veya Y ile
sohbet rengini değiştirmek için.")</f>
        <v>~ Geçersiz komut ~
Tip / ardından R, G, B veya Y ile
sohbet rengini değiştirmek için.</v>
      </c>
      <c r="G52" s="23" t="str">
        <f>IFERROR(__xludf.DUMMYFUNCTION("GOOGLETRANSLATE(B52, ""en"", ""pt"")"),"~ Comando inválido ~
Tipo / seguido por r, g, b ou y
Para mudar a cor do bate -papo.")</f>
        <v>~ Comando inválido ~
Tipo / seguido por r, g, b ou y
Para mudar a cor do bate -papo.</v>
      </c>
      <c r="H52" s="24" t="str">
        <f>IFERROR(__xludf.DUMMYFUNCTION("GOOGLETRANSLATE(B52, ""en"", ""de"")"),"~ Ungültiger Befehl ~
Typ / gefolgt von r, g, b oder y
Chatfarbe ändern.")</f>
        <v>~ Ungültiger Befehl ~
Typ / gefolgt von r, g, b oder y
Chatfarbe ändern.</v>
      </c>
      <c r="I52" s="23" t="str">
        <f>IFERROR(__xludf.DUMMYFUNCTION("GOOGLETRANSLATE(B52, ""en"", ""pl"")"),"~ Nieprawidłowe polecenie ~
Typ /, a następnie R, G, B lub Y
Aby zmienić kolor czatu.")</f>
        <v>~ Nieprawidłowe polecenie ~
Typ /, a następnie R, G, B lub Y
Aby zmienić kolor czatu.</v>
      </c>
      <c r="J52" s="25" t="str">
        <f>IFERROR(__xludf.DUMMYFUNCTION("GOOGLETRANSLATE(B52, ""en"", ""zh"")"),"〜无效命令〜
类型 /随后是R，G，B或Y
更改聊天颜色。")</f>
        <v>〜无效命令〜
类型 /随后是R，G，B或Y
更改聊天颜色。</v>
      </c>
      <c r="K52" s="25" t="str">
        <f>IFERROR(__xludf.DUMMYFUNCTION("GOOGLETRANSLATE(B52, ""en"", ""vi"")"),"~ Lệnh không hợp lệ ~
Loại / theo sau là r, g, b hoặc y
Để thay đổi màu chat.")</f>
        <v>~ Lệnh không hợp lệ ~
Loại / theo sau là r, g, b hoặc y
Để thay đổi màu chat.</v>
      </c>
      <c r="L52" s="23" t="str">
        <f>IFERROR(__xludf.DUMMYFUNCTION("GOOGLETRANSLATE(B52, ""en"", ""hr"")"),"~ Nevaljana naredba ~
Tip / slijedi R, G, B ili Y
Za promjenu boje chata.")</f>
        <v>~ Nevaljana naredba ~
Tip / slijedi R, G, B ili Y
Za promjenu boje chata.</v>
      </c>
      <c r="M52" s="23"/>
      <c r="N52" s="26"/>
      <c r="O52" s="26"/>
      <c r="P52" s="26"/>
      <c r="Q52" s="26"/>
      <c r="R52" s="26"/>
      <c r="S52" s="26"/>
      <c r="T52" s="26"/>
      <c r="U52" s="26"/>
      <c r="V52" s="26"/>
      <c r="W52" s="26"/>
      <c r="X52" s="26"/>
      <c r="Y52" s="26"/>
      <c r="Z52" s="26"/>
      <c r="AA52" s="26"/>
      <c r="AB52" s="26"/>
    </row>
    <row r="53">
      <c r="A53" s="21" t="s">
        <v>173</v>
      </c>
      <c r="B53" s="22" t="s">
        <v>174</v>
      </c>
      <c r="C53" s="23" t="s">
        <v>175</v>
      </c>
      <c r="D53" s="23" t="str">
        <f>IFERROR(__xludf.DUMMYFUNCTION("GOOGLETRANSLATE(B53, ""en"", ""es"")"),"Gloria: tu puntaje, solía ingresar a las mazmorras más duras. Obtienes la gloria de hacer la mayoría de las cosas, como completar misiones, matar monstruos y otros jugadores, reunir, crear y limpiar mazmorras.")</f>
        <v>Gloria: tu puntaje, solía ingresar a las mazmorras más duras. Obtienes la gloria de hacer la mayoría de las cosas, como completar misiones, matar monstruos y otros jugadores, reunir, crear y limpiar mazmorras.</v>
      </c>
      <c r="E53" s="23" t="str">
        <f>IFERROR(__xludf.DUMMYFUNCTION("GOOGLETRANSLATE(B53, ""en"", ""ru"")"),"Слава: ваш счет, используемый для входа в более жесткие подземелья. Вы получаете славу от выполнения большинства вещей, таких как завершение квестов, убийство монстров и других игроков, сбор, создание и очистку подземелий.")</f>
        <v>Слава: ваш счет, используемый для входа в более жесткие подземелья. Вы получаете славу от выполнения большинства вещей, таких как завершение квестов, убийство монстров и других игроков, сбор, создание и очистку подземелий.</v>
      </c>
      <c r="F53" s="23" t="str">
        <f>IFERROR(__xludf.DUMMYFUNCTION("GOOGLETRANSLATE(B53, ""en"", ""tr"")"),"Glory: Puanınız, daha sert zindanlara girerdi. Görevleri tamamlamak, canavarları ve diğer oyuncuları öldürmek, zindanları toplama, işleme ve temizleme gibi çoğu şeyi yapmaktan zafer kazanırsınız.")</f>
        <v>Glory: Puanınız, daha sert zindanlara girerdi. Görevleri tamamlamak, canavarları ve diğer oyuncuları öldürmek, zindanları toplama, işleme ve temizleme gibi çoğu şeyi yapmaktan zafer kazanırsınız.</v>
      </c>
      <c r="G53" s="23" t="str">
        <f>IFERROR(__xludf.DUMMYFUNCTION("GOOGLETRANSLATE(B53, ""en"", ""pt"")"),"Glória: Sua pontuação, usada para entrar nas masmorras mais difíceis. Você obtém a glória da maioria das coisas, como completar missões, matar monstros e outros jogadores, reunir, criar e limpar masmorras.")</f>
        <v>Glória: Sua pontuação, usada para entrar nas masmorras mais difíceis. Você obtém a glória da maioria das coisas, como completar missões, matar monstros e outros jogadores, reunir, criar e limpar masmorras.</v>
      </c>
      <c r="H53" s="24" t="str">
        <f>IFERROR(__xludf.DUMMYFUNCTION("GOOGLETRANSLATE(B53, ""en"", ""de"")"),"Ruhm: Ihre Punktzahl, die verwendet wurde, um härtere Dungeons zu betreten. Sie bekommen Ruhm davon, die meisten Dinge zu tun, z. B. das Abschluss von Quests, das Töten von Monstern und anderen Spielern, das Sammeln, das Handwerk und das Löschen von Dunge"&amp;"ons.")</f>
        <v>Ruhm: Ihre Punktzahl, die verwendet wurde, um härtere Dungeons zu betreten. Sie bekommen Ruhm davon, die meisten Dinge zu tun, z. B. das Abschluss von Quests, das Töten von Monstern und anderen Spielern, das Sammeln, das Handwerk und das Löschen von Dungeons.</v>
      </c>
      <c r="I53" s="23" t="str">
        <f>IFERROR(__xludf.DUMMYFUNCTION("GOOGLETRANSLATE(B53, ""en"", ""pl"")"),"Chwała: Twój wynik, używany do wchodzenia do trudniejszych lochów. Dostajesz chwałę z robienia większości rzeczy, takich jak wykonywanie zadań, zabijanie potworów i innych graczy, gromadzenie się, rzemieślnicze i oczyszczanie lochów.")</f>
        <v>Chwała: Twój wynik, używany do wchodzenia do trudniejszych lochów. Dostajesz chwałę z robienia większości rzeczy, takich jak wykonywanie zadań, zabijanie potworów i innych graczy, gromadzenie się, rzemieślnicze i oczyszczanie lochów.</v>
      </c>
      <c r="J53" s="25" t="str">
        <f>IFERROR(__xludf.DUMMYFUNCTION("GOOGLETRANSLATE(B53, ""en"", ""zh"")"),"荣耀：您的分数，用于进入更硬的地牢。您可以从做大多数事情中获得荣耀，例如完成任务，杀死怪物和其他玩家，聚会，制作和清理地牢。")</f>
        <v>荣耀：您的分数，用于进入更硬的地牢。您可以从做大多数事情中获得荣耀，例如完成任务，杀死怪物和其他玩家，聚会，制作和清理地牢。</v>
      </c>
      <c r="K53" s="25" t="str">
        <f>IFERROR(__xludf.DUMMYFUNCTION("GOOGLETRANSLATE(B53, ""en"", ""vi"")"),"Glory: Điểm của bạn, được sử dụng để vào ngục tối khó hơn. Bạn nhận được vinh quang từ việc làm hầu hết mọi thứ, chẳng hạn như hoàn thành các nhiệm vụ, giết quái vật và những người chơi khác, tập hợp, chế tạo và dọn các ngục tối.")</f>
        <v>Glory: Điểm của bạn, được sử dụng để vào ngục tối khó hơn. Bạn nhận được vinh quang từ việc làm hầu hết mọi thứ, chẳng hạn như hoàn thành các nhiệm vụ, giết quái vật và những người chơi khác, tập hợp, chế tạo và dọn các ngục tối.</v>
      </c>
      <c r="L53" s="23" t="str">
        <f>IFERROR(__xludf.DUMMYFUNCTION("GOOGLETRANSLATE(B53, ""en"", ""hr"")"),"Slava: Vaša ocjena, koristila se za ulazak u tvrđe tamnice. Dobivate slavu da radite većinu stvari, poput dovršetka zadataka, ubijanja čudovišta i drugih igrača, okupljanja, izrade i čišćenja tamnica.")</f>
        <v>Slava: Vaša ocjena, koristila se za ulazak u tvrđe tamnice. Dobivate slavu da radite većinu stvari, poput dovršetka zadataka, ubijanja čudovišta i drugih igrača, okupljanja, izrade i čišćenja tamnica.</v>
      </c>
      <c r="M53" s="23"/>
      <c r="N53" s="26"/>
      <c r="O53" s="26"/>
      <c r="P53" s="26"/>
      <c r="Q53" s="26"/>
      <c r="R53" s="26"/>
      <c r="S53" s="26"/>
      <c r="T53" s="26"/>
      <c r="U53" s="26"/>
      <c r="V53" s="26"/>
      <c r="W53" s="26"/>
      <c r="X53" s="26"/>
      <c r="Y53" s="26"/>
      <c r="Z53" s="26"/>
      <c r="AA53" s="26"/>
      <c r="AB53" s="26"/>
    </row>
    <row r="54">
      <c r="A54" s="21" t="s">
        <v>176</v>
      </c>
      <c r="B54" s="22" t="s">
        <v>177</v>
      </c>
      <c r="C54" s="23" t="str">
        <f>IFERROR(__xludf.DUMMYFUNCTION("GOOGLETRANSLATE(B54, ""en"", ""fr"")"),"Défense: réduit la quantité de dégâts que vous subissez. Augmentez vos points de défense en utilisant certains vêtements, potions et enchantements.")</f>
        <v>Défense: réduit la quantité de dégâts que vous subissez. Augmentez vos points de défense en utilisant certains vêtements, potions et enchantements.</v>
      </c>
      <c r="D54" s="23" t="str">
        <f>IFERROR(__xludf.DUMMYFUNCTION("GOOGLETRANSLATE(B54, ""en"", ""es"")"),"Defensa: reduce la cantidad de daño que recibes. Aumente sus puntos de defensa usando ciertas prendas de vestir, pociones y encantamientos.")</f>
        <v>Defensa: reduce la cantidad de daño que recibes. Aumente sus puntos de defensa usando ciertas prendas de vestir, pociones y encantamientos.</v>
      </c>
      <c r="E54" s="23" t="str">
        <f>IFERROR(__xludf.DUMMYFUNCTION("GOOGLETRANSLATE(B54, ""en"", ""ru"")"),"Защита: уменьшает количество ущерба, которое вы набираете. Увеличьте свои точки защиты, используя определенные предметы одежды, зелья и чары.")</f>
        <v>Защита: уменьшает количество ущерба, которое вы набираете. Увеличьте свои точки защиты, используя определенные предметы одежды, зелья и чары.</v>
      </c>
      <c r="F54" s="23" t="str">
        <f>IFERROR(__xludf.DUMMYFUNCTION("GOOGLETRANSLATE(B54, ""en"", ""tr"")"),"Savunma: Aldığınız hasar miktarını azaltır. Belirli giyim eşyalarını, iksirleri ve büyüleri kullanarak savunma noktalarınızı artırın.")</f>
        <v>Savunma: Aldığınız hasar miktarını azaltır. Belirli giyim eşyalarını, iksirleri ve büyüleri kullanarak savunma noktalarınızı artırın.</v>
      </c>
      <c r="G54" s="23" t="str">
        <f>IFERROR(__xludf.DUMMYFUNCTION("GOOGLETRANSLATE(B54, ""en"", ""pt"")"),"Defesa: reduz a quantidade de dano que você sofre. Aumente seus pontos de defesa usando certos itens, poções e encantamentos de roupas.")</f>
        <v>Defesa: reduz a quantidade de dano que você sofre. Aumente seus pontos de defesa usando certos itens, poções e encantamentos de roupas.</v>
      </c>
      <c r="H54" s="24" t="str">
        <f>IFERROR(__xludf.DUMMYFUNCTION("GOOGLETRANSLATE(B54, ""en"", ""de"")"),"Verteidigung: Reduziert die Menge an Schäden, die Sie annehmen. Erhöhen Sie Ihre Verteidigungspunkte, indem Sie bestimmte Kleidungsstücke, Tränke und Verzauberungen verwenden.")</f>
        <v>Verteidigung: Reduziert die Menge an Schäden, die Sie annehmen. Erhöhen Sie Ihre Verteidigungspunkte, indem Sie bestimmte Kleidungsstücke, Tränke und Verzauberungen verwenden.</v>
      </c>
      <c r="I54" s="23" t="str">
        <f>IFERROR(__xludf.DUMMYFUNCTION("GOOGLETRANSLATE(B54, ""en"", ""pl"")"),"Obrona: zmniejsza ilość wyrządzonych szkód. Zwiększ swoje punkty obrony, używając niektórych elementów odzieży, mikstur i zaklęć.")</f>
        <v>Obrona: zmniejsza ilość wyrządzonych szkód. Zwiększ swoje punkty obrony, używając niektórych elementów odzieży, mikstur i zaklęć.</v>
      </c>
      <c r="J54" s="25" t="str">
        <f>IFERROR(__xludf.DUMMYFUNCTION("GOOGLETRANSLATE(B54, ""en"", ""zh"")"),"防御：减少您造成的伤害量。通过使用某些服装，药水和魅力来增加防御点。")</f>
        <v>防御：减少您造成的伤害量。通过使用某些服装，药水和魅力来增加防御点。</v>
      </c>
      <c r="K54" s="25" t="str">
        <f>IFERROR(__xludf.DUMMYFUNCTION("GOOGLETRANSLATE(B54, ""en"", ""vi"")"),"Phòng thủ: Giảm số lượng thiệt hại bạn nhận. Tăng điểm phòng thủ của bạn bằng cách sử dụng một số mặt hàng quần áo, potions và bùa mê nhất định.")</f>
        <v>Phòng thủ: Giảm số lượng thiệt hại bạn nhận. Tăng điểm phòng thủ của bạn bằng cách sử dụng một số mặt hàng quần áo, potions và bùa mê nhất định.</v>
      </c>
      <c r="L54" s="23" t="str">
        <f>IFERROR(__xludf.DUMMYFUNCTION("GOOGLETRANSLATE(B54, ""en"", ""hr"")"),"Obrana: smanjuje količinu štete koju nanesete. Povećajte točke obrane pomoću određenih odjevnih predmeta, napitaka i očaravanja.")</f>
        <v>Obrana: smanjuje količinu štete koju nanesete. Povećajte točke obrane pomoću određenih odjevnih predmeta, napitaka i očaravanja.</v>
      </c>
      <c r="M54" s="23"/>
      <c r="N54" s="26"/>
      <c r="O54" s="26"/>
      <c r="P54" s="26"/>
      <c r="Q54" s="26"/>
      <c r="R54" s="26"/>
      <c r="S54" s="26"/>
      <c r="T54" s="26"/>
      <c r="U54" s="26"/>
      <c r="V54" s="26"/>
      <c r="W54" s="26"/>
      <c r="X54" s="26"/>
      <c r="Y54" s="26"/>
      <c r="Z54" s="26"/>
      <c r="AA54" s="26"/>
      <c r="AB54" s="26"/>
    </row>
    <row r="55">
      <c r="A55" s="21" t="s">
        <v>178</v>
      </c>
      <c r="B55" s="22" t="s">
        <v>179</v>
      </c>
      <c r="C55" s="23" t="str">
        <f>IFERROR(__xludf.DUMMYFUNCTION("GOOGLETRANSLATE(B55, ""en"", ""fr"")"),"Statistiques")</f>
        <v>Statistiques</v>
      </c>
      <c r="D55" s="23" t="str">
        <f>IFERROR(__xludf.DUMMYFUNCTION("GOOGLETRANSLATE(B55, ""en"", ""es"")"),"Estadísticas")</f>
        <v>Estadísticas</v>
      </c>
      <c r="E55" s="23" t="str">
        <f>IFERROR(__xludf.DUMMYFUNCTION("GOOGLETRANSLATE(B55, ""en"", ""ru"")"),"Статистика")</f>
        <v>Статистика</v>
      </c>
      <c r="F55" s="23" t="str">
        <f>IFERROR(__xludf.DUMMYFUNCTION("GOOGLETRANSLATE(B55, ""en"", ""tr"")"),"İstatistikler")</f>
        <v>İstatistikler</v>
      </c>
      <c r="G55" s="23" t="str">
        <f>IFERROR(__xludf.DUMMYFUNCTION("GOOGLETRANSLATE(B55, ""en"", ""pt"")"),"Estatísticas")</f>
        <v>Estatísticas</v>
      </c>
      <c r="H55" s="24" t="str">
        <f>IFERROR(__xludf.DUMMYFUNCTION("GOOGLETRANSLATE(B55, ""en"", ""de"")"),"Statistiken")</f>
        <v>Statistiken</v>
      </c>
      <c r="I55" s="23" t="str">
        <f>IFERROR(__xludf.DUMMYFUNCTION("GOOGLETRANSLATE(B55, ""en"", ""pl"")"),"Statystyki")</f>
        <v>Statystyki</v>
      </c>
      <c r="J55" s="25" t="str">
        <f>IFERROR(__xludf.DUMMYFUNCTION("GOOGLETRANSLATE(B55, ""en"", ""zh"")"),"统计")</f>
        <v>统计</v>
      </c>
      <c r="K55" s="25" t="str">
        <f>IFERROR(__xludf.DUMMYFUNCTION("GOOGLETRANSLATE(B55, ""en"", ""vi"")"),"Số liệu thống kê")</f>
        <v>Số liệu thống kê</v>
      </c>
      <c r="L55" s="23" t="str">
        <f>IFERROR(__xludf.DUMMYFUNCTION("GOOGLETRANSLATE(B55, ""en"", ""hr"")"),"Statistika")</f>
        <v>Statistika</v>
      </c>
      <c r="M55" s="23"/>
      <c r="N55" s="26"/>
      <c r="O55" s="26"/>
      <c r="P55" s="26"/>
      <c r="Q55" s="26"/>
      <c r="R55" s="26"/>
      <c r="S55" s="26"/>
      <c r="T55" s="26"/>
      <c r="U55" s="26"/>
      <c r="V55" s="26"/>
      <c r="W55" s="26"/>
      <c r="X55" s="26"/>
      <c r="Y55" s="26"/>
      <c r="Z55" s="26"/>
      <c r="AA55" s="26"/>
      <c r="AB55" s="26"/>
    </row>
    <row r="56">
      <c r="A56" s="21" t="s">
        <v>180</v>
      </c>
      <c r="B56" s="22" t="s">
        <v>181</v>
      </c>
      <c r="C56" s="23" t="str">
        <f>IFERROR(__xludf.DUMMYFUNCTION("GOOGLETRANSLATE(B56, ""en"", ""fr"")"),"Tâches")</f>
        <v>Tâches</v>
      </c>
      <c r="D56" s="23" t="str">
        <f>IFERROR(__xludf.DUMMYFUNCTION("GOOGLETRANSLATE(B56, ""en"", ""es"")"),"Tareas")</f>
        <v>Tareas</v>
      </c>
      <c r="E56" s="23" t="str">
        <f>IFERROR(__xludf.DUMMYFUNCTION("GOOGLETRANSLATE(B56, ""en"", ""ru"")"),"Задачи")</f>
        <v>Задачи</v>
      </c>
      <c r="F56" s="23" t="str">
        <f>IFERROR(__xludf.DUMMYFUNCTION("GOOGLETRANSLATE(B56, ""en"", ""tr"")"),"Görevler")</f>
        <v>Görevler</v>
      </c>
      <c r="G56" s="23" t="str">
        <f>IFERROR(__xludf.DUMMYFUNCTION("GOOGLETRANSLATE(B56, ""en"", ""pt"")"),"Tarefas")</f>
        <v>Tarefas</v>
      </c>
      <c r="H56" s="24" t="str">
        <f>IFERROR(__xludf.DUMMYFUNCTION("GOOGLETRANSLATE(B56, ""en"", ""de"")"),"Aufgaben")</f>
        <v>Aufgaben</v>
      </c>
      <c r="I56" s="23" t="str">
        <f>IFERROR(__xludf.DUMMYFUNCTION("GOOGLETRANSLATE(B56, ""en"", ""pl"")"),"Zadania")</f>
        <v>Zadania</v>
      </c>
      <c r="J56" s="25" t="str">
        <f>IFERROR(__xludf.DUMMYFUNCTION("GOOGLETRANSLATE(B56, ""en"", ""zh"")"),"任务")</f>
        <v>任务</v>
      </c>
      <c r="K56" s="25" t="str">
        <f>IFERROR(__xludf.DUMMYFUNCTION("GOOGLETRANSLATE(B56, ""en"", ""vi"")"),"Nhiệm vụ")</f>
        <v>Nhiệm vụ</v>
      </c>
      <c r="L56" s="23" t="str">
        <f>IFERROR(__xludf.DUMMYFUNCTION("GOOGLETRANSLATE(B56, ""en"", ""hr"")"),"Zadaci")</f>
        <v>Zadaci</v>
      </c>
      <c r="M56" s="23"/>
      <c r="N56" s="26"/>
      <c r="O56" s="26"/>
      <c r="P56" s="26"/>
      <c r="Q56" s="26"/>
      <c r="R56" s="26"/>
      <c r="S56" s="26"/>
      <c r="T56" s="26"/>
      <c r="U56" s="26"/>
      <c r="V56" s="26"/>
      <c r="W56" s="26"/>
      <c r="X56" s="26"/>
      <c r="Y56" s="26"/>
      <c r="Z56" s="26"/>
      <c r="AA56" s="26"/>
      <c r="AB56" s="26"/>
    </row>
    <row r="57">
      <c r="A57" s="21" t="s">
        <v>182</v>
      </c>
      <c r="B57" s="22" t="s">
        <v>183</v>
      </c>
      <c r="C57" s="23" t="str">
        <f>IFERROR(__xludf.DUMMYFUNCTION("GOOGLETRANSLATE(B57, ""en"", ""fr"")"),"Carte du monde")</f>
        <v>Carte du monde</v>
      </c>
      <c r="D57" s="23" t="str">
        <f>IFERROR(__xludf.DUMMYFUNCTION("GOOGLETRANSLATE(B57, ""en"", ""es"")"),"Mapa del mundo")</f>
        <v>Mapa del mundo</v>
      </c>
      <c r="E57" s="23" t="str">
        <f>IFERROR(__xludf.DUMMYFUNCTION("GOOGLETRANSLATE(B57, ""en"", ""ru"")"),"Карта мира")</f>
        <v>Карта мира</v>
      </c>
      <c r="F57" s="23" t="str">
        <f>IFERROR(__xludf.DUMMYFUNCTION("GOOGLETRANSLATE(B57, ""en"", ""tr"")"),"Dünya haritası")</f>
        <v>Dünya haritası</v>
      </c>
      <c r="G57" s="23" t="str">
        <f>IFERROR(__xludf.DUMMYFUNCTION("GOOGLETRANSLATE(B57, ""en"", ""pt"")"),"Mapa mundial")</f>
        <v>Mapa mundial</v>
      </c>
      <c r="H57" s="24" t="str">
        <f>IFERROR(__xludf.DUMMYFUNCTION("GOOGLETRANSLATE(B57, ""en"", ""de"")"),"Weltkarte")</f>
        <v>Weltkarte</v>
      </c>
      <c r="I57" s="23" t="str">
        <f>IFERROR(__xludf.DUMMYFUNCTION("GOOGLETRANSLATE(B57, ""en"", ""pl"")"),"Mapa świata")</f>
        <v>Mapa świata</v>
      </c>
      <c r="J57" s="25" t="str">
        <f>IFERROR(__xludf.DUMMYFUNCTION("GOOGLETRANSLATE(B57, ""en"", ""zh"")"),"世界地图")</f>
        <v>世界地图</v>
      </c>
      <c r="K57" s="25" t="str">
        <f>IFERROR(__xludf.DUMMYFUNCTION("GOOGLETRANSLATE(B57, ""en"", ""vi"")"),"Bản đồ thế giới")</f>
        <v>Bản đồ thế giới</v>
      </c>
      <c r="L57" s="23" t="str">
        <f>IFERROR(__xludf.DUMMYFUNCTION("GOOGLETRANSLATE(B57, ""en"", ""hr"")"),"Karta svijeta")</f>
        <v>Karta svijeta</v>
      </c>
      <c r="M57" s="23"/>
      <c r="N57" s="26"/>
      <c r="O57" s="26"/>
      <c r="P57" s="26"/>
      <c r="Q57" s="26"/>
      <c r="R57" s="26"/>
      <c r="S57" s="26"/>
      <c r="T57" s="26"/>
      <c r="U57" s="26"/>
      <c r="V57" s="26"/>
      <c r="W57" s="26"/>
      <c r="X57" s="26"/>
      <c r="Y57" s="26"/>
      <c r="Z57" s="26"/>
      <c r="AA57" s="26"/>
      <c r="AB57" s="26"/>
    </row>
    <row r="58">
      <c r="A58" s="21" t="s">
        <v>184</v>
      </c>
      <c r="B58" s="22" t="s">
        <v>185</v>
      </c>
      <c r="C58" s="23" t="s">
        <v>186</v>
      </c>
      <c r="D58" s="23" t="str">
        <f>IFERROR(__xludf.DUMMYFUNCTION("GOOGLETRANSLATE(B58, ""en"", ""es"")"),"Modo de chat: presione para establecer si el cuadro de chat debe permanecer abierto después de enviar un mensaje.")</f>
        <v>Modo de chat: presione para establecer si el cuadro de chat debe permanecer abierto después de enviar un mensaje.</v>
      </c>
      <c r="E58" s="23" t="str">
        <f>IFERROR(__xludf.DUMMYFUNCTION("GOOGLETRANSLATE(B58,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8" s="23" t="str">
        <f>IFERROR(__xludf.DUMMYFUNCTION("GOOGLETRANSLATE(B58, ""en"", ""tr"")"),"Sohbet modu: Mesaj gönderdikten sonra sohbet kutusunun açık kalıp kalmayacağını ayarlamak için basın.")</f>
        <v>Sohbet modu: Mesaj gönderdikten sonra sohbet kutusunun açık kalıp kalmayacağını ayarlamak için basın.</v>
      </c>
      <c r="G58" s="23" t="str">
        <f>IFERROR(__xludf.DUMMYFUNCTION("GOOGLETRANSLATE(B58, ""en"", ""pt"")"),"Modo de bate -papo: pressione para definir se a caixa de bate -papo deve permanecer aberta após o envio de uma mensagem.")</f>
        <v>Modo de bate -papo: pressione para definir se a caixa de bate -papo deve permanecer aberta após o envio de uma mensagem.</v>
      </c>
      <c r="H58" s="24" t="str">
        <f>IFERROR(__xludf.DUMMYFUNCTION("GOOGLETRANSLATE(B58, ""en"", ""de"")"),"Chat -Modus: Drücken Sie, um festzustellen, ob das Chatbox nach dem Senden einer Nachricht geöffnet bleibt.")</f>
        <v>Chat -Modus: Drücken Sie, um festzustellen, ob das Chatbox nach dem Senden einer Nachricht geöffnet bleibt.</v>
      </c>
      <c r="I58" s="23" t="str">
        <f>IFERROR(__xludf.DUMMYFUNCTION("GOOGLETRANSLATE(B58, ""en"", ""pl"")"),"Tryb czatu: Naciśnij, aby ustawić, czy pole czatu powinno pozostać otwarte po wysłaniu wiadomości.")</f>
        <v>Tryb czatu: Naciśnij, aby ustawić, czy pole czatu powinno pozostać otwarte po wysłaniu wiadomości.</v>
      </c>
      <c r="J58" s="25" t="str">
        <f>IFERROR(__xludf.DUMMYFUNCTION("GOOGLETRANSLATE(B58, ""en"", ""zh"")"),"聊天模式：按发送消息后设置聊天框是否应保持打开状态。")</f>
        <v>聊天模式：按发送消息后设置聊天框是否应保持打开状态。</v>
      </c>
      <c r="K58" s="25" t="str">
        <f>IFERROR(__xludf.DUMMYFUNCTION("GOOGLETRANSLATE(B58, ""en"", ""vi"")"),"Chế độ trò chuyện: Bấm để đặt liệu hộp trò chuyện có nên mở sau khi gửi tin nhắn hay không.")</f>
        <v>Chế độ trò chuyện: Bấm để đặt liệu hộp trò chuyện có nên mở sau khi gửi tin nhắn hay không.</v>
      </c>
      <c r="L58" s="23" t="str">
        <f>IFERROR(__xludf.DUMMYFUNCTION("GOOGLETRANSLATE(B58, ""en"", ""hr"")"),"Način chata: Pritisnite da li bi okvir za chat trebao ostati otvoren nakon što pošalje poruku.")</f>
        <v>Način chata: Pritisnite da li bi okvir za chat trebao ostati otvoren nakon što pošalje poruku.</v>
      </c>
      <c r="M58" s="23"/>
      <c r="N58" s="26"/>
      <c r="O58" s="26"/>
      <c r="P58" s="26"/>
      <c r="Q58" s="26"/>
      <c r="R58" s="26"/>
      <c r="S58" s="26"/>
      <c r="T58" s="26"/>
      <c r="U58" s="26"/>
      <c r="V58" s="26"/>
      <c r="W58" s="26"/>
      <c r="X58" s="26"/>
      <c r="Y58" s="26"/>
      <c r="Z58" s="26"/>
      <c r="AA58" s="26"/>
      <c r="AB58" s="26"/>
    </row>
    <row r="59">
      <c r="A59" s="21" t="s">
        <v>187</v>
      </c>
      <c r="B59" s="22" t="s">
        <v>188</v>
      </c>
      <c r="C59" s="23" t="str">
        <f>IFERROR(__xludf.DUMMYFUNCTION("GOOGLETRANSLATE(B59, ""en"", ""fr"")"),"Clan")</f>
        <v>Clan</v>
      </c>
      <c r="D59" s="23" t="str">
        <f>IFERROR(__xludf.DUMMYFUNCTION("GOOGLETRANSLATE(B59, ""en"", ""es"")"),"Clan")</f>
        <v>Clan</v>
      </c>
      <c r="E59" s="23" t="str">
        <f>IFERROR(__xludf.DUMMYFUNCTION("GOOGLETRANSLATE(B59, ""en"", ""ru"")"),"Клан")</f>
        <v>Клан</v>
      </c>
      <c r="F59" s="23" t="str">
        <f>IFERROR(__xludf.DUMMYFUNCTION("GOOGLETRANSLATE(B59, ""en"", ""tr"")"),"Klan")</f>
        <v>Klan</v>
      </c>
      <c r="G59" s="23" t="str">
        <f>IFERROR(__xludf.DUMMYFUNCTION("GOOGLETRANSLATE(B59, ""en"", ""pt"")"),"Clã")</f>
        <v>Clã</v>
      </c>
      <c r="H59" s="24" t="str">
        <f>IFERROR(__xludf.DUMMYFUNCTION("GOOGLETRANSLATE(B59, ""en"", ""de"")"),"Clan")</f>
        <v>Clan</v>
      </c>
      <c r="I59" s="23" t="str">
        <f>IFERROR(__xludf.DUMMYFUNCTION("GOOGLETRANSLATE(B59, ""en"", ""pl"")"),"Klan")</f>
        <v>Klan</v>
      </c>
      <c r="J59" s="25" t="str">
        <f>IFERROR(__xludf.DUMMYFUNCTION("GOOGLETRANSLATE(B59, ""en"", ""zh"")"),"氏族")</f>
        <v>氏族</v>
      </c>
      <c r="K59" s="25" t="str">
        <f>IFERROR(__xludf.DUMMYFUNCTION("GOOGLETRANSLATE(B59, ""en"", ""vi"")"),"Gia tộc")</f>
        <v>Gia tộc</v>
      </c>
      <c r="L59" s="23" t="str">
        <f>IFERROR(__xludf.DUMMYFUNCTION("GOOGLETRANSLATE(B59, ""en"", ""hr"")"),"Klan")</f>
        <v>Klan</v>
      </c>
      <c r="M59" s="23"/>
      <c r="N59" s="26"/>
      <c r="O59" s="26"/>
      <c r="P59" s="26"/>
      <c r="Q59" s="26"/>
      <c r="R59" s="26"/>
      <c r="S59" s="26"/>
      <c r="T59" s="26"/>
      <c r="U59" s="26"/>
      <c r="V59" s="26"/>
      <c r="W59" s="26"/>
      <c r="X59" s="26"/>
      <c r="Y59" s="26"/>
      <c r="Z59" s="26"/>
      <c r="AA59" s="26"/>
      <c r="AB59" s="26"/>
    </row>
    <row r="60">
      <c r="A60" s="21" t="s">
        <v>189</v>
      </c>
      <c r="B60" s="22" t="s">
        <v>190</v>
      </c>
      <c r="C60" s="23" t="str">
        <f>IFERROR(__xludf.DUMMYFUNCTION("GOOGLETRANSLATE(B60, ""en"", ""fr"")"),"Points à succès: combien de dégâts vous pouvez subir avant de mourir. Récupérez les points de vie plus rapidement en utilisant certaines potions et sorts.")</f>
        <v>Points à succès: combien de dégâts vous pouvez subir avant de mourir. Récupérez les points de vie plus rapidement en utilisant certaines potions et sorts.</v>
      </c>
      <c r="D60" s="23" t="str">
        <f>IFERROR(__xludf.DUMMYFUNCTION("GOOGLETRANSLATE(B60, ""en"", ""es"")"),"Hitpoints: cuánto daño puedes recibir antes de morir. Recupere los puntos de hits más rápido usando ciertas pociones y hechizos.")</f>
        <v>Hitpoints: cuánto daño puedes recibir antes de morir. Recupere los puntos de hits más rápido usando ciertas pociones y hechizos.</v>
      </c>
      <c r="E60" s="23" t="str">
        <f>IFERROR(__xludf.DUMMYFUNCTION("GOOGLETRANSLATE(B60, ""en"", ""ru"")"),"Хит -точки: Сколько ущерба вы можете получить, прежде чем умереть. Восстановить точки хит быстрее, используя определенные зелья и заклинания.")</f>
        <v>Хит -точки: Сколько ущерба вы можете получить, прежде чем умереть. Восстановить точки хит быстрее, используя определенные зелья и заклинания.</v>
      </c>
      <c r="F60" s="23" t="str">
        <f>IFERROR(__xludf.DUMMYFUNCTION("GOOGLETRANSLATE(B60, ""en"", ""tr"")"),"Hitpoints: Ölmeden önce ne kadar hasar alabilirsiniz. Belirli iksirleri ve büyüleri kullanarak isabet noktalarını daha hızlı kurtarın.")</f>
        <v>Hitpoints: Ölmeden önce ne kadar hasar alabilirsiniz. Belirli iksirleri ve büyüleri kullanarak isabet noktalarını daha hızlı kurtarın.</v>
      </c>
      <c r="G60" s="23" t="str">
        <f>IFERROR(__xludf.DUMMYFUNCTION("GOOGLETRANSLATE(B60, ""en"", ""pt"")"),"Hitpoints: quanto dano você pode causar antes de morrer. Recupere os pontos de vida mais rapidamente usando certas poções e feitiços.")</f>
        <v>Hitpoints: quanto dano você pode causar antes de morrer. Recupere os pontos de vida mais rapidamente usando certas poções e feitiços.</v>
      </c>
      <c r="H60" s="24" t="str">
        <f>IFERROR(__xludf.DUMMYFUNCTION("GOOGLETRANSLATE(B60, ""en"", ""de"")"),"Hitpoints: Wie viel Schaden können Sie annehmen, bevor Sie sterben. Wiederherstellen von Treffpunkten, indem Sie bestimmte Tränke und Zaubersprüche verwenden.")</f>
        <v>Hitpoints: Wie viel Schaden können Sie annehmen, bevor Sie sterben. Wiederherstellen von Treffpunkten, indem Sie bestimmte Tränke und Zaubersprüche verwenden.</v>
      </c>
      <c r="I60" s="23" t="str">
        <f>IFERROR(__xludf.DUMMYFUNCTION("GOOGLETRANSLATE(B60, ""en"", ""pl"")"),"Hitpoints: Ile obrażeń możesz znieść przed śmiercią. Odzyskaj punkty hitowe szybciej, używając niektórych mikstur i zaklęć.")</f>
        <v>Hitpoints: Ile obrażeń możesz znieść przed śmiercią. Odzyskaj punkty hitowe szybciej, używając niektórych mikstur i zaklęć.</v>
      </c>
      <c r="J60" s="25" t="str">
        <f>IFERROR(__xludf.DUMMYFUNCTION("GOOGLETRANSLATE(B60, ""en"", ""zh"")"),"生命值：死后可以造成多少伤害。通过使用某些药水和法术更快地恢复生命值。")</f>
        <v>生命值：死后可以造成多少伤害。通过使用某些药水和法术更快地恢复生命值。</v>
      </c>
      <c r="K60" s="25" t="str">
        <f>IFERROR(__xludf.DUMMYFUNCTION("GOOGLETRANSLATE(B60, ""en"", ""vi"")"),"HitPoints: Bạn có thể gây thiệt hại bao nhiêu trước khi chết. Phục hồi các điểm hitpoint nhanh hơn bằng cách sử dụng một số potions và phép thuật.")</f>
        <v>HitPoints: Bạn có thể gây thiệt hại bao nhiêu trước khi chết. Phục hồi các điểm hitpoint nhanh hơn bằng cách sử dụng một số potions và phép thuật.</v>
      </c>
      <c r="L60" s="23" t="str">
        <f>IFERROR(__xludf.DUMMYFUNCTION("GOOGLETRANSLATE(B60, ""en"", ""hr"")"),"Hitpoints: Koliku štetu možete nanijeti prije nego što umrete. Brže oporavite hitpoints pomoću određenih napitaka i čarolija.")</f>
        <v>Hitpoints: Koliku štetu možete nanijeti prije nego što umrete. Brže oporavite hitpoints pomoću određenih napitaka i čarolija.</v>
      </c>
      <c r="M60" s="23"/>
      <c r="N60" s="26"/>
      <c r="O60" s="26"/>
      <c r="P60" s="26"/>
      <c r="Q60" s="26"/>
      <c r="R60" s="26"/>
      <c r="S60" s="26"/>
      <c r="T60" s="26"/>
      <c r="U60" s="26"/>
      <c r="V60" s="26"/>
      <c r="W60" s="26"/>
      <c r="X60" s="26"/>
      <c r="Y60" s="26"/>
      <c r="Z60" s="26"/>
      <c r="AA60" s="26"/>
      <c r="AB60" s="26"/>
    </row>
    <row r="61">
      <c r="A61" s="21" t="s">
        <v>191</v>
      </c>
      <c r="B61" s="22" t="s">
        <v>192</v>
      </c>
      <c r="C61" s="23" t="str">
        <f>IFERROR(__xludf.DUMMYFUNCTION("GOOGLETRANSLATE(B61, ""en"", ""fr"")"),"Énergie: utilisé pour faire la plupart des actions. Se régénère lentement. Récupérez l'énergie plus rapidement en buvant des potions d'énergie.")</f>
        <v>Énergie: utilisé pour faire la plupart des actions. Se régénère lentement. Récupérez l'énergie plus rapidement en buvant des potions d'énergie.</v>
      </c>
      <c r="D61" s="23" t="str">
        <f>IFERROR(__xludf.DUMMYFUNCTION("GOOGLETRANSLATE(B61, ""en"", ""es"")"),"Energía: solía hacer la mayoría de las acciones. Lentamente regenera. Recupere la energía más rápido bebiendo pociones de energía.")</f>
        <v>Energía: solía hacer la mayoría de las acciones. Lentamente regenera. Recupere la energía más rápido bebiendo pociones de energía.</v>
      </c>
      <c r="E61" s="23" t="str">
        <f>IFERROR(__xludf.DUMMYFUNCTION("GOOGLETRANSLATE(B61, ""en"", ""ru"")"),"Энергия: используется для большинства действий. Медленно восстанавливается. Восстановить энергию быстрее, выпивая энергетические зелья.")</f>
        <v>Энергия: используется для большинства действий. Медленно восстанавливается. Восстановить энергию быстрее, выпивая энергетические зелья.</v>
      </c>
      <c r="F61" s="23" t="str">
        <f>IFERROR(__xludf.DUMMYFUNCTION("GOOGLETRANSLATE(B61, ""en"", ""tr"")"),"Enerji: Çoğu eylemi yapardı. Yavaş yavaş yenilenir. Enerji iksirleri içerek enerjiyi daha hızlı kurtarın.")</f>
        <v>Enerji: Çoğu eylemi yapardı. Yavaş yavaş yenilenir. Enerji iksirleri içerek enerjiyi daha hızlı kurtarın.</v>
      </c>
      <c r="G61" s="23" t="str">
        <f>IFERROR(__xludf.DUMMYFUNCTION("GOOGLETRANSLATE(B61, ""en"", ""pt"")"),"Energia: costumava fazer a maioria das ações. Regenera lentamente. Recupere a energia mais rapidamente, bebendo poções de energia.")</f>
        <v>Energia: costumava fazer a maioria das ações. Regenera lentamente. Recupere a energia mais rapidamente, bebendo poções de energia.</v>
      </c>
      <c r="H61" s="24" t="str">
        <f>IFERROR(__xludf.DUMMYFUNCTION("GOOGLETRANSLATE(B61, ""en"", ""de"")"),"Energie: Wird verwendet, um die meisten Aktionen auszuführen. Langsam regeneriert. Energie schneller wiederholen, indem Sie Energietränke trinken.")</f>
        <v>Energie: Wird verwendet, um die meisten Aktionen auszuführen. Langsam regeneriert. Energie schneller wiederholen, indem Sie Energietränke trinken.</v>
      </c>
      <c r="I61" s="23" t="str">
        <f>IFERROR(__xludf.DUMMYFUNCTION("GOOGLETRANSLATE(B61, ""en"", ""pl"")"),"Energia: używana do większości działań. Powoli regeneruje się. Szybciej odzyskuj energię, pijąc mikstury energetyczne.")</f>
        <v>Energia: używana do większości działań. Powoli regeneruje się. Szybciej odzyskuj energię, pijąc mikstury energetyczne.</v>
      </c>
      <c r="J61" s="25" t="str">
        <f>IFERROR(__xludf.DUMMYFUNCTION("GOOGLETRANSLATE(B61, ""en"", ""zh"")"),"能量：曾经做过大多数动作。缓慢再生。通过饮用能量药水来更快地恢复能量。")</f>
        <v>能量：曾经做过大多数动作。缓慢再生。通过饮用能量药水来更快地恢复能量。</v>
      </c>
      <c r="K61" s="25" t="str">
        <f>IFERROR(__xludf.DUMMYFUNCTION("GOOGLETRANSLATE(B61, ""en"", ""vi"")"),"Năng lượng: Được sử dụng để thực hiện hầu hết các hành động. Từ từ tái tạo. Phục hồi năng lượng nhanh hơn bằng cách uống thuốc năng lượng.")</f>
        <v>Năng lượng: Được sử dụng để thực hiện hầu hết các hành động. Từ từ tái tạo. Phục hồi năng lượng nhanh hơn bằng cách uống thuốc năng lượng.</v>
      </c>
      <c r="L61" s="23" t="str">
        <f>IFERROR(__xludf.DUMMYFUNCTION("GOOGLETRANSLATE(B61, ""en"", ""hr"")"),"Energija: nekada je obavljala većinu radnji. Polako regenerira. Brže oporavite energiju pijenjem energetskih napitaka.")</f>
        <v>Energija: nekada je obavljala većinu radnji. Polako regenerira. Brže oporavite energiju pijenjem energetskih napitaka.</v>
      </c>
      <c r="M61" s="23"/>
      <c r="N61" s="26"/>
      <c r="O61" s="26"/>
      <c r="P61" s="26"/>
      <c r="Q61" s="26"/>
      <c r="R61" s="26"/>
      <c r="S61" s="26"/>
      <c r="T61" s="26"/>
      <c r="U61" s="26"/>
      <c r="V61" s="26"/>
      <c r="W61" s="26"/>
      <c r="X61" s="26"/>
      <c r="Y61" s="26"/>
      <c r="Z61" s="26"/>
      <c r="AA61" s="26"/>
      <c r="AB61" s="26"/>
    </row>
    <row r="62">
      <c r="A62" s="21" t="s">
        <v>193</v>
      </c>
      <c r="B62" s="22" t="s">
        <v>194</v>
      </c>
      <c r="C62" s="23" t="str">
        <f>IFERROR(__xludf.DUMMYFUNCTION("GOOGLETRANSLATE(B62, ""en"", ""fr"")"),"Inventaire")</f>
        <v>Inventaire</v>
      </c>
      <c r="D62" s="23" t="str">
        <f>IFERROR(__xludf.DUMMYFUNCTION("GOOGLETRANSLATE(B62, ""en"", ""es"")"),"Inventario")</f>
        <v>Inventario</v>
      </c>
      <c r="E62" s="23" t="str">
        <f>IFERROR(__xludf.DUMMYFUNCTION("GOOGLETRANSLATE(B62, ""en"", ""ru"")"),"Инвентарь")</f>
        <v>Инвентарь</v>
      </c>
      <c r="F62" s="23" t="str">
        <f>IFERROR(__xludf.DUMMYFUNCTION("GOOGLETRANSLATE(B62, ""en"", ""tr"")"),"Envanter")</f>
        <v>Envanter</v>
      </c>
      <c r="G62" s="23" t="str">
        <f>IFERROR(__xludf.DUMMYFUNCTION("GOOGLETRANSLATE(B62, ""en"", ""pt"")"),"Inventário")</f>
        <v>Inventário</v>
      </c>
      <c r="H62" s="24" t="str">
        <f>IFERROR(__xludf.DUMMYFUNCTION("GOOGLETRANSLATE(B62, ""en"", ""de"")"),"Inventar")</f>
        <v>Inventar</v>
      </c>
      <c r="I62" s="23" t="str">
        <f>IFERROR(__xludf.DUMMYFUNCTION("GOOGLETRANSLATE(B62, ""en"", ""pl"")"),"Spis")</f>
        <v>Spis</v>
      </c>
      <c r="J62" s="25" t="str">
        <f>IFERROR(__xludf.DUMMYFUNCTION("GOOGLETRANSLATE(B62, ""en"", ""zh"")"),"存货")</f>
        <v>存货</v>
      </c>
      <c r="K62" s="25" t="str">
        <f>IFERROR(__xludf.DUMMYFUNCTION("GOOGLETRANSLATE(B62, ""en"", ""vi"")"),"Hàng tồn kho")</f>
        <v>Hàng tồn kho</v>
      </c>
      <c r="L62" s="23" t="str">
        <f>IFERROR(__xludf.DUMMYFUNCTION("GOOGLETRANSLATE(B62, ""en"", ""hr"")"),"Inventar")</f>
        <v>Inventar</v>
      </c>
      <c r="M62" s="23"/>
      <c r="N62" s="26"/>
      <c r="O62" s="26"/>
      <c r="P62" s="26"/>
      <c r="Q62" s="26"/>
      <c r="R62" s="26"/>
      <c r="S62" s="26"/>
      <c r="T62" s="26"/>
      <c r="U62" s="26"/>
      <c r="V62" s="26"/>
      <c r="W62" s="26"/>
      <c r="X62" s="26"/>
      <c r="Y62" s="26"/>
      <c r="Z62" s="26"/>
      <c r="AA62" s="26"/>
      <c r="AB62" s="26"/>
    </row>
    <row r="63">
      <c r="A63" s="21" t="s">
        <v>195</v>
      </c>
      <c r="B63" s="22" t="s">
        <v>196</v>
      </c>
      <c r="C63" s="23" t="str">
        <f>IFERROR(__xludf.DUMMYFUNCTION("GOOGLETRANSLATE(B63, ""en"", ""fr"")"),"Combat: vous perdrez vos objets si vous fermez le jeu pendant le combat.")</f>
        <v>Combat: vous perdrez vos objets si vous fermez le jeu pendant le combat.</v>
      </c>
      <c r="D63" s="23" t="str">
        <f>IFERROR(__xludf.DUMMYFUNCTION("GOOGLETRANSLATE(B63, ""en"", ""es"")"),"Combate: perderás tus elementos si cierras el juego mientras estás en combate.")</f>
        <v>Combate: perderás tus elementos si cierras el juego mientras estás en combate.</v>
      </c>
      <c r="E63" s="23" t="str">
        <f>IFERROR(__xludf.DUMMYFUNCTION("GOOGLETRANSLATE(B63, ""en"", ""ru"")"),"Бой: вы потеряете свои вещи, если закроете игру во время боя.")</f>
        <v>Бой: вы потеряете свои вещи, если закроете игру во время боя.</v>
      </c>
      <c r="F63" s="23" t="str">
        <f>IFERROR(__xludf.DUMMYFUNCTION("GOOGLETRANSLATE(B63, ""en"", ""tr"")"),"Savaş: Savaştayken oyunu kapatırsanız eşyalarınızı kaybedeceksiniz.")</f>
        <v>Savaş: Savaştayken oyunu kapatırsanız eşyalarınızı kaybedeceksiniz.</v>
      </c>
      <c r="G63" s="23" t="str">
        <f>IFERROR(__xludf.DUMMYFUNCTION("GOOGLETRANSLATE(B63, ""en"", ""pt"")"),"Combate: Você perderá seus itens se fechar o jogo enquanto estiver em combate.")</f>
        <v>Combate: Você perderá seus itens se fechar o jogo enquanto estiver em combate.</v>
      </c>
      <c r="H63" s="24" t="str">
        <f>IFERROR(__xludf.DUMMYFUNCTION("GOOGLETRANSLATE(B63, ""en"", ""de"")"),"Kampf: Sie verlieren Ihre Artikel, wenn Sie das Spiel im Kampf schließen.")</f>
        <v>Kampf: Sie verlieren Ihre Artikel, wenn Sie das Spiel im Kampf schließen.</v>
      </c>
      <c r="I63" s="23" t="str">
        <f>IFERROR(__xludf.DUMMYFUNCTION("GOOGLETRANSLATE(B63, ""en"", ""pl"")"),"Walka: stracisz swoje przedmioty, jeśli zamkniesz grę podczas walki.")</f>
        <v>Walka: stracisz swoje przedmioty, jeśli zamkniesz grę podczas walki.</v>
      </c>
      <c r="J63" s="25" t="str">
        <f>IFERROR(__xludf.DUMMYFUNCTION("GOOGLETRANSLATE(B63, ""en"", ""zh"")"),"战斗：如果您在战斗中关闭游戏，您将丢失物品。")</f>
        <v>战斗：如果您在战斗中关闭游戏，您将丢失物品。</v>
      </c>
      <c r="K63" s="25" t="str">
        <f>IFERROR(__xludf.DUMMYFUNCTION("GOOGLETRANSLATE(B63, ""en"", ""vi"")"),"Chiến đấu: Bạn sẽ mất các vật phẩm của mình nếu bạn đóng trò chơi trong khi chiến đấu.")</f>
        <v>Chiến đấu: Bạn sẽ mất các vật phẩm của mình nếu bạn đóng trò chơi trong khi chiến đấu.</v>
      </c>
      <c r="L63" s="23" t="str">
        <f>IFERROR(__xludf.DUMMYFUNCTION("GOOGLETRANSLATE(B63, ""en"", ""hr"")"),"Borba: Izgubit ćete predmete ako zatvorite igru ​​dok ste u borbi.")</f>
        <v>Borba: Izgubit ćete predmete ako zatvorite igru ​​dok ste u borbi.</v>
      </c>
      <c r="M63" s="23"/>
      <c r="N63" s="26"/>
      <c r="O63" s="26"/>
      <c r="P63" s="26"/>
      <c r="Q63" s="26"/>
      <c r="R63" s="26"/>
      <c r="S63" s="26"/>
      <c r="T63" s="26"/>
      <c r="U63" s="26"/>
      <c r="V63" s="26"/>
      <c r="W63" s="26"/>
      <c r="X63" s="26"/>
      <c r="Y63" s="26"/>
      <c r="Z63" s="26"/>
      <c r="AA63" s="26"/>
      <c r="AB63" s="26"/>
    </row>
    <row r="64">
      <c r="A64" s="21" t="s">
        <v>197</v>
      </c>
      <c r="B64" s="22" t="s">
        <v>198</v>
      </c>
      <c r="C64" s="27" t="s">
        <v>199</v>
      </c>
      <c r="D64" s="23" t="str">
        <f>IFERROR(__xludf.DUMMYFUNCTION("GOOGLETRANSLATE(B64, ""en"", ""es"")"),"Cuenta: establezca un nombre de usuario y una contraseña para este personaje para guardar su progreso.")</f>
        <v>Cuenta: establezca un nombre de usuario y una contraseña para este personaje para guardar su progreso.</v>
      </c>
      <c r="E64" s="23" t="str">
        <f>IFERROR(__xludf.DUMMYFUNCTION("GOOGLETRANSLATE(B64, ""en"", ""ru"")"),"Учетная запись: Установите имя пользователя и пароль для этого персонажа, чтобы сохранить ваш прогресс.")</f>
        <v>Учетная запись: Установите имя пользователя и пароль для этого персонажа, чтобы сохранить ваш прогресс.</v>
      </c>
      <c r="F64" s="23" t="str">
        <f>IFERROR(__xludf.DUMMYFUNCTION("GOOGLETRANSLATE(B64, ""en"", ""tr"")"),"Hesap: İlerlemenizi kaydetmek için bu karakter için bir kullanıcı adı ve şifre belirleyin.")</f>
        <v>Hesap: İlerlemenizi kaydetmek için bu karakter için bir kullanıcı adı ve şifre belirleyin.</v>
      </c>
      <c r="G64" s="23" t="str">
        <f>IFERROR(__xludf.DUMMYFUNCTION("GOOGLETRANSLATE(B64, ""en"", ""pt"")"),"Conta: Defina um nome de usuário e senha para esse personagem para salvar seu progresso.")</f>
        <v>Conta: Defina um nome de usuário e senha para esse personagem para salvar seu progresso.</v>
      </c>
      <c r="H64" s="24" t="str">
        <f>IFERROR(__xludf.DUMMYFUNCTION("GOOGLETRANSLATE(B64, ""en"", ""de"")"),"Konto: Legen Sie einen Benutzernamen und ein Passwort für diesen Charakter fest, um Ihren Fortschritt zu speichern.")</f>
        <v>Konto: Legen Sie einen Benutzernamen und ein Passwort für diesen Charakter fest, um Ihren Fortschritt zu speichern.</v>
      </c>
      <c r="I64" s="23" t="str">
        <f>IFERROR(__xludf.DUMMYFUNCTION("GOOGLETRANSLATE(B64, ""en"", ""pl"")"),"Konto: Ustaw nazwę użytkownika i hasło dla tej postaci, aby zapisać swoje postępy.")</f>
        <v>Konto: Ustaw nazwę użytkownika i hasło dla tej postaci, aby zapisać swoje postępy.</v>
      </c>
      <c r="J64" s="25" t="str">
        <f>IFERROR(__xludf.DUMMYFUNCTION("GOOGLETRANSLATE(B64, ""en"", ""zh"")"),"帐户：为此字符设置用户名和密码以节省您的进度。")</f>
        <v>帐户：为此字符设置用户名和密码以节省您的进度。</v>
      </c>
      <c r="K64" s="25" t="str">
        <f>IFERROR(__xludf.DUMMYFUNCTION("GOOGLETRANSLATE(B64, ""en"", ""vi"")"),"Tài khoản: Đặt tên người dùng và mật khẩu cho ký tự này để lưu tiến trình của bạn.")</f>
        <v>Tài khoản: Đặt tên người dùng và mật khẩu cho ký tự này để lưu tiến trình của bạn.</v>
      </c>
      <c r="L64" s="23" t="str">
        <f>IFERROR(__xludf.DUMMYFUNCTION("GOOGLETRANSLATE(B64, ""en"", ""hr"")"),"Račun: Postavite korisničko ime i lozinku za ovaj znak kako biste spremili vaš napredak.")</f>
        <v>Račun: Postavite korisničko ime i lozinku za ovaj znak kako biste spremili vaš napredak.</v>
      </c>
      <c r="M64" s="23"/>
      <c r="N64" s="26"/>
      <c r="O64" s="26"/>
      <c r="P64" s="26"/>
      <c r="Q64" s="26"/>
      <c r="R64" s="26"/>
      <c r="S64" s="26"/>
      <c r="T64" s="26"/>
      <c r="U64" s="26"/>
      <c r="V64" s="26"/>
      <c r="W64" s="26"/>
      <c r="X64" s="26"/>
      <c r="Y64" s="26"/>
      <c r="Z64" s="26"/>
      <c r="AA64" s="26"/>
      <c r="AB64" s="26"/>
    </row>
    <row r="65">
      <c r="A65" s="21" t="s">
        <v>200</v>
      </c>
      <c r="B65" s="22" t="s">
        <v>201</v>
      </c>
      <c r="C65" s="23" t="str">
        <f>IFERROR(__xludf.DUMMYFUNCTION("GOOGLETRANSLATE(B65, ""en"", ""fr"")"),"Paramètres: Appuyez sur pour afficher / masquer plus d'options.")</f>
        <v>Paramètres: Appuyez sur pour afficher / masquer plus d'options.</v>
      </c>
      <c r="D65" s="23" t="str">
        <f>IFERROR(__xludf.DUMMYFUNCTION("GOOGLETRANSLATE(B65, ""en"", ""es"")"),"Configuración: presione para mostrar/ocultar más opciones.")</f>
        <v>Configuración: presione para mostrar/ocultar más opciones.</v>
      </c>
      <c r="E65" s="23" t="str">
        <f>IFERROR(__xludf.DUMMYFUNCTION("GOOGLETRANSLATE(B65, ""en"", ""ru"")"),"Настройки: нажмите, чтобы показать/скрыть больше параметров.")</f>
        <v>Настройки: нажмите, чтобы показать/скрыть больше параметров.</v>
      </c>
      <c r="F65" s="23" t="str">
        <f>IFERROR(__xludf.DUMMYFUNCTION("GOOGLETRANSLATE(B65, ""en"", ""tr"")"),"Ayarlar: Daha fazla seçeneği göstermek/gizlemek için basın.")</f>
        <v>Ayarlar: Daha fazla seçeneği göstermek/gizlemek için basın.</v>
      </c>
      <c r="G65" s="23" t="str">
        <f>IFERROR(__xludf.DUMMYFUNCTION("GOOGLETRANSLATE(B65, ""en"", ""pt"")"),"Configurações: Pressione para mostrar/ocultar mais opções.")</f>
        <v>Configurações: Pressione para mostrar/ocultar mais opções.</v>
      </c>
      <c r="H65" s="24" t="str">
        <f>IFERROR(__xludf.DUMMYFUNCTION("GOOGLETRANSLATE(B65, ""en"", ""de"")"),"Einstellungen: Drücken Sie, um weitere Optionen anzuzeigen/auszublenden.")</f>
        <v>Einstellungen: Drücken Sie, um weitere Optionen anzuzeigen/auszublenden.</v>
      </c>
      <c r="I65" s="23" t="str">
        <f>IFERROR(__xludf.DUMMYFUNCTION("GOOGLETRANSLATE(B65, ""en"", ""pl"")"),"Ustawienia: Naciśnij, aby pokazać/ukryć więcej opcji.")</f>
        <v>Ustawienia: Naciśnij, aby pokazać/ukryć więcej opcji.</v>
      </c>
      <c r="J65" s="25" t="str">
        <f>IFERROR(__xludf.DUMMYFUNCTION("GOOGLETRANSLATE(B65, ""en"", ""zh"")"),"设置：按显示/隐藏更多选项。")</f>
        <v>设置：按显示/隐藏更多选项。</v>
      </c>
      <c r="K65" s="25" t="str">
        <f>IFERROR(__xludf.DUMMYFUNCTION("GOOGLETRANSLATE(B65, ""en"", ""vi"")"),"Cài đặt: Nhấn để hiển thị/ẩn nhiều tùy chọn hơn.")</f>
        <v>Cài đặt: Nhấn để hiển thị/ẩn nhiều tùy chọn hơn.</v>
      </c>
      <c r="L65" s="23" t="str">
        <f>IFERROR(__xludf.DUMMYFUNCTION("GOOGLETRANSLATE(B65, ""en"", ""hr"")"),"Postavke: Pritisnite za prikaz/sakrivanje više opcija.")</f>
        <v>Postavke: Pritisnite za prikaz/sakrivanje više opcija.</v>
      </c>
      <c r="M65" s="23"/>
      <c r="N65" s="26"/>
      <c r="O65" s="26"/>
      <c r="P65" s="26"/>
      <c r="Q65" s="26"/>
      <c r="R65" s="26"/>
      <c r="S65" s="26"/>
      <c r="T65" s="26"/>
      <c r="U65" s="26"/>
      <c r="V65" s="26"/>
      <c r="W65" s="26"/>
      <c r="X65" s="26"/>
      <c r="Y65" s="26"/>
      <c r="Z65" s="26"/>
      <c r="AA65" s="26"/>
      <c r="AB65" s="26"/>
    </row>
    <row r="66">
      <c r="A66" s="21" t="s">
        <v>202</v>
      </c>
      <c r="B66" s="22" t="s">
        <v>202</v>
      </c>
      <c r="C66" s="23" t="str">
        <f>IFERROR(__xludf.DUMMYFUNCTION("GOOGLETRANSLATE(B66, ""en"", ""fr"")"),"Réglages")</f>
        <v>Réglages</v>
      </c>
      <c r="D66" s="23" t="str">
        <f>IFERROR(__xludf.DUMMYFUNCTION("GOOGLETRANSLATE(B66, ""en"", ""es"")"),"Ajustes")</f>
        <v>Ajustes</v>
      </c>
      <c r="E66" s="23" t="str">
        <f>IFERROR(__xludf.DUMMYFUNCTION("GOOGLETRANSLATE(B66, ""en"", ""ru"")"),"Настройки")</f>
        <v>Настройки</v>
      </c>
      <c r="F66" s="23" t="str">
        <f>IFERROR(__xludf.DUMMYFUNCTION("GOOGLETRANSLATE(B66, ""en"", ""tr"")"),"Ayarlar")</f>
        <v>Ayarlar</v>
      </c>
      <c r="G66" s="23" t="str">
        <f>IFERROR(__xludf.DUMMYFUNCTION("GOOGLETRANSLATE(B66, ""en"", ""pt"")"),"Definições")</f>
        <v>Definições</v>
      </c>
      <c r="H66" s="24" t="str">
        <f>IFERROR(__xludf.DUMMYFUNCTION("GOOGLETRANSLATE(B66, ""en"", ""de"")"),"Einstellungen")</f>
        <v>Einstellungen</v>
      </c>
      <c r="I66" s="23" t="str">
        <f>IFERROR(__xludf.DUMMYFUNCTION("GOOGLETRANSLATE(B66, ""en"", ""pl"")"),"Ustawienia")</f>
        <v>Ustawienia</v>
      </c>
      <c r="J66" s="25" t="str">
        <f>IFERROR(__xludf.DUMMYFUNCTION("GOOGLETRANSLATE(B66, ""en"", ""zh"")"),"设置")</f>
        <v>设置</v>
      </c>
      <c r="K66" s="25" t="str">
        <f>IFERROR(__xludf.DUMMYFUNCTION("GOOGLETRANSLATE(B66, ""en"", ""vi"")"),"Cài đặt")</f>
        <v>Cài đặt</v>
      </c>
      <c r="L66" s="23" t="str">
        <f>IFERROR(__xludf.DUMMYFUNCTION("GOOGLETRANSLATE(B66, ""en"", ""hr"")"),"Postavke")</f>
        <v>Postavke</v>
      </c>
      <c r="M66" s="23"/>
      <c r="N66" s="26"/>
      <c r="O66" s="26"/>
      <c r="P66" s="26"/>
      <c r="Q66" s="26"/>
      <c r="R66" s="26"/>
      <c r="S66" s="26"/>
      <c r="T66" s="26"/>
      <c r="U66" s="26"/>
      <c r="V66" s="26"/>
      <c r="W66" s="26"/>
      <c r="X66" s="26"/>
      <c r="Y66" s="26"/>
      <c r="Z66" s="26"/>
      <c r="AA66" s="26"/>
      <c r="AB66" s="26"/>
    </row>
    <row r="67">
      <c r="A67" s="21" t="s">
        <v>203</v>
      </c>
      <c r="B67" s="22" t="s">
        <v>204</v>
      </c>
      <c r="C67" s="23" t="str">
        <f>IFERROR(__xludf.DUMMYFUNCTION("GOOGLETRANSLATE(B67, ""en"", ""fr"")"),"Plein écran")</f>
        <v>Plein écran</v>
      </c>
      <c r="D67" s="23" t="str">
        <f>IFERROR(__xludf.DUMMYFUNCTION("GOOGLETRANSLATE(B67, ""en"", ""es"")"),"Pantalla completa")</f>
        <v>Pantalla completa</v>
      </c>
      <c r="E67" s="23" t="str">
        <f>IFERROR(__xludf.DUMMYFUNCTION("GOOGLETRANSLATE(B67, ""en"", ""ru"")"),"Полноэкранный")</f>
        <v>Полноэкранный</v>
      </c>
      <c r="F67" s="23" t="str">
        <f>IFERROR(__xludf.DUMMYFUNCTION("GOOGLETRANSLATE(B67, ""en"", ""tr"")"),"Tam ekran")</f>
        <v>Tam ekran</v>
      </c>
      <c r="G67" s="23" t="str">
        <f>IFERROR(__xludf.DUMMYFUNCTION("GOOGLETRANSLATE(B67, ""en"", ""pt"")"),"Tela cheia")</f>
        <v>Tela cheia</v>
      </c>
      <c r="H67" s="24" t="str">
        <f>IFERROR(__xludf.DUMMYFUNCTION("GOOGLETRANSLATE(B67, ""en"", ""de"")"),"Ganzer Bildschirm")</f>
        <v>Ganzer Bildschirm</v>
      </c>
      <c r="I67" s="23" t="str">
        <f>IFERROR(__xludf.DUMMYFUNCTION("GOOGLETRANSLATE(B67, ""en"", ""pl"")"),"Pełny ekran")</f>
        <v>Pełny ekran</v>
      </c>
      <c r="J67" s="25" t="str">
        <f>IFERROR(__xludf.DUMMYFUNCTION("GOOGLETRANSLATE(B67, ""en"", ""zh"")"),"全屏")</f>
        <v>全屏</v>
      </c>
      <c r="K67" s="25" t="str">
        <f>IFERROR(__xludf.DUMMYFUNCTION("GOOGLETRANSLATE(B67, ""en"", ""vi"")"),"Toàn màn hình")</f>
        <v>Toàn màn hình</v>
      </c>
      <c r="L67" s="23" t="str">
        <f>IFERROR(__xludf.DUMMYFUNCTION("GOOGLETRANSLATE(B67, ""en"", ""hr"")"),"Puni zaslon")</f>
        <v>Puni zaslon</v>
      </c>
      <c r="M67" s="23"/>
      <c r="N67" s="26"/>
      <c r="O67" s="26"/>
      <c r="P67" s="26"/>
      <c r="Q67" s="26"/>
      <c r="R67" s="26"/>
      <c r="S67" s="26"/>
      <c r="T67" s="26"/>
      <c r="U67" s="26"/>
      <c r="V67" s="26"/>
      <c r="W67" s="26"/>
      <c r="X67" s="26"/>
      <c r="Y67" s="26"/>
      <c r="Z67" s="26"/>
      <c r="AA67" s="26"/>
      <c r="AB67" s="26"/>
    </row>
    <row r="68">
      <c r="A68" s="21" t="s">
        <v>205</v>
      </c>
      <c r="B68" s="22" t="s">
        <v>206</v>
      </c>
      <c r="C68" s="23" t="str">
        <f>IFERROR(__xludf.DUMMYFUNCTION("GOOGLETRANSLATE(B68, ""en"", ""fr"")"),"Volume de la musique")</f>
        <v>Volume de la musique</v>
      </c>
      <c r="D68" s="23" t="str">
        <f>IFERROR(__xludf.DUMMYFUNCTION("GOOGLETRANSLATE(B68, ""en"", ""es"")"),"Volumen de la música")</f>
        <v>Volumen de la música</v>
      </c>
      <c r="E68" s="23" t="str">
        <f>IFERROR(__xludf.DUMMYFUNCTION("GOOGLETRANSLATE(B68, ""en"", ""ru"")"),"Музыкальный том")</f>
        <v>Музыкальный том</v>
      </c>
      <c r="F68" s="23" t="str">
        <f>IFERROR(__xludf.DUMMYFUNCTION("GOOGLETRANSLATE(B68, ""en"", ""tr"")"),"Müzik sesi")</f>
        <v>Müzik sesi</v>
      </c>
      <c r="G68" s="23" t="str">
        <f>IFERROR(__xludf.DUMMYFUNCTION("GOOGLETRANSLATE(B68, ""en"", ""pt"")"),"Volume da música")</f>
        <v>Volume da música</v>
      </c>
      <c r="H68" s="24" t="str">
        <f>IFERROR(__xludf.DUMMYFUNCTION("GOOGLETRANSLATE(B68, ""en"", ""de"")"),"Musiklautstärke")</f>
        <v>Musiklautstärke</v>
      </c>
      <c r="I68" s="23" t="str">
        <f>IFERROR(__xludf.DUMMYFUNCTION("GOOGLETRANSLATE(B68, ""en"", ""pl"")"),"Głośność muzyki")</f>
        <v>Głośność muzyki</v>
      </c>
      <c r="J68" s="25" t="str">
        <f>IFERROR(__xludf.DUMMYFUNCTION("GOOGLETRANSLATE(B68, ""en"", ""zh"")"),"音乐卷")</f>
        <v>音乐卷</v>
      </c>
      <c r="K68" s="25" t="str">
        <f>IFERROR(__xludf.DUMMYFUNCTION("GOOGLETRANSLATE(B68, ""en"", ""vi"")"),"Âm lượng nhạc")</f>
        <v>Âm lượng nhạc</v>
      </c>
      <c r="L68" s="23" t="str">
        <f>IFERROR(__xludf.DUMMYFUNCTION("GOOGLETRANSLATE(B68, ""en"", ""hr"")"),"Svezak glazbe")</f>
        <v>Svezak glazbe</v>
      </c>
      <c r="M68" s="23"/>
      <c r="N68" s="26"/>
      <c r="O68" s="26"/>
      <c r="P68" s="26"/>
      <c r="Q68" s="26"/>
      <c r="R68" s="26"/>
      <c r="S68" s="26"/>
      <c r="T68" s="26"/>
      <c r="U68" s="26"/>
      <c r="V68" s="26"/>
      <c r="W68" s="26"/>
      <c r="X68" s="26"/>
      <c r="Y68" s="26"/>
      <c r="Z68" s="26"/>
      <c r="AA68" s="26"/>
      <c r="AB68" s="26"/>
    </row>
    <row r="69">
      <c r="A69" s="21" t="s">
        <v>207</v>
      </c>
      <c r="B69" s="22" t="s">
        <v>208</v>
      </c>
      <c r="C69" s="23" t="s">
        <v>209</v>
      </c>
      <c r="D69" s="23" t="str">
        <f>IFERROR(__xludf.DUMMYFUNCTION("GOOGLETRANSLATE(B69, ""en"", ""es"")"),"Volumen de efectos")</f>
        <v>Volumen de efectos</v>
      </c>
      <c r="E69" s="23" t="str">
        <f>IFERROR(__xludf.DUMMYFUNCTION("GOOGLETRANSLATE(B69, ""en"", ""ru"")"),"Эффекты объема")</f>
        <v>Эффекты объема</v>
      </c>
      <c r="F69" s="23" t="str">
        <f>IFERROR(__xludf.DUMMYFUNCTION("GOOGLETRANSLATE(B69, ""en"", ""tr"")"),"Efekt hacmi")</f>
        <v>Efekt hacmi</v>
      </c>
      <c r="G69" s="23" t="str">
        <f>IFERROR(__xludf.DUMMYFUNCTION("GOOGLETRANSLATE(B69, ""en"", ""pt"")"),"Volume de efeitos")</f>
        <v>Volume de efeitos</v>
      </c>
      <c r="H69" s="24" t="str">
        <f>IFERROR(__xludf.DUMMYFUNCTION("GOOGLETRANSLATE(B69, ""en"", ""de"")"),"Effektvolumen")</f>
        <v>Effektvolumen</v>
      </c>
      <c r="I69" s="23" t="str">
        <f>IFERROR(__xludf.DUMMYFUNCTION("GOOGLETRANSLATE(B69, ""en"", ""pl"")"),"Objętość efektów")</f>
        <v>Objętość efektów</v>
      </c>
      <c r="J69" s="25" t="str">
        <f>IFERROR(__xludf.DUMMYFUNCTION("GOOGLETRANSLATE(B69, ""en"", ""zh"")"),"效果量")</f>
        <v>效果量</v>
      </c>
      <c r="K69" s="25" t="str">
        <f>IFERROR(__xludf.DUMMYFUNCTION("GOOGLETRANSLATE(B69, ""en"", ""vi"")"),"Hiệu ứng khối lượng")</f>
        <v>Hiệu ứng khối lượng</v>
      </c>
      <c r="L69" s="23" t="str">
        <f>IFERROR(__xludf.DUMMYFUNCTION("GOOGLETRANSLATE(B69, ""en"", ""hr"")"),"Volumen učinaka")</f>
        <v>Volumen učinaka</v>
      </c>
      <c r="M69" s="23"/>
      <c r="N69" s="26"/>
      <c r="O69" s="26"/>
      <c r="P69" s="26"/>
      <c r="Q69" s="26"/>
      <c r="R69" s="26"/>
      <c r="S69" s="26"/>
      <c r="T69" s="26"/>
      <c r="U69" s="26"/>
      <c r="V69" s="26"/>
      <c r="W69" s="26"/>
      <c r="X69" s="26"/>
      <c r="Y69" s="26"/>
      <c r="Z69" s="26"/>
      <c r="AA69" s="26"/>
      <c r="AB69" s="26"/>
    </row>
    <row r="70">
      <c r="A70" s="21" t="s">
        <v>210</v>
      </c>
      <c r="B70" s="22" t="s">
        <v>211</v>
      </c>
      <c r="C70" s="23" t="str">
        <f>IFERROR(__xludf.DUMMYFUNCTION("GOOGLETRANSLATE(B70, ""en"", ""fr"")"),"Gibier")</f>
        <v>Gibier</v>
      </c>
      <c r="D70" s="23" t="str">
        <f>IFERROR(__xludf.DUMMYFUNCTION("GOOGLETRANSLATE(B70, ""en"", ""es"")"),"Escala de GUI")</f>
        <v>Escala de GUI</v>
      </c>
      <c r="E70" s="23" t="str">
        <f>IFERROR(__xludf.DUMMYFUNCTION("GOOGLETRANSLATE(B70, ""en"", ""ru"")"),"Масштаб графического интерфейса")</f>
        <v>Масштаб графического интерфейса</v>
      </c>
      <c r="F70" s="23" t="str">
        <f>IFERROR(__xludf.DUMMYFUNCTION("GOOGLETRANSLATE(B70, ""en"", ""tr"")"),"GUI ölçeği")</f>
        <v>GUI ölçeği</v>
      </c>
      <c r="G70" s="23" t="str">
        <f>IFERROR(__xludf.DUMMYFUNCTION("GOOGLETRANSLATE(B70, ""en"", ""pt"")"),"Escala da GUI")</f>
        <v>Escala da GUI</v>
      </c>
      <c r="H70" s="24" t="str">
        <f>IFERROR(__xludf.DUMMYFUNCTION("GOOGLETRANSLATE(B70, ""en"", ""de"")"),"GUI -Skala")</f>
        <v>GUI -Skala</v>
      </c>
      <c r="I70" s="23" t="str">
        <f>IFERROR(__xludf.DUMMYFUNCTION("GOOGLETRANSLATE(B70, ""en"", ""pl"")"),"Skala GUI")</f>
        <v>Skala GUI</v>
      </c>
      <c r="J70" s="25" t="str">
        <f>IFERROR(__xludf.DUMMYFUNCTION("GOOGLETRANSLATE(B70, ""en"", ""zh"")"),"GUI量表")</f>
        <v>GUI量表</v>
      </c>
      <c r="K70" s="25" t="str">
        <f>IFERROR(__xludf.DUMMYFUNCTION("GOOGLETRANSLATE(B70, ""en"", ""vi"")"),"Thang GUI")</f>
        <v>Thang GUI</v>
      </c>
      <c r="L70" s="23" t="str">
        <f>IFERROR(__xludf.DUMMYFUNCTION("GOOGLETRANSLATE(B70, ""en"", ""hr"")"),"GUI ljestvica")</f>
        <v>GUI ljestvica</v>
      </c>
      <c r="M70" s="23"/>
      <c r="N70" s="26"/>
      <c r="O70" s="26"/>
      <c r="P70" s="26"/>
      <c r="Q70" s="26"/>
      <c r="R70" s="26"/>
      <c r="S70" s="26"/>
      <c r="T70" s="26"/>
      <c r="U70" s="26"/>
      <c r="V70" s="26"/>
      <c r="W70" s="26"/>
      <c r="X70" s="26"/>
      <c r="Y70" s="26"/>
      <c r="Z70" s="26"/>
      <c r="AA70" s="26"/>
      <c r="AB70" s="26"/>
    </row>
    <row r="71">
      <c r="A71" s="21" t="s">
        <v>212</v>
      </c>
      <c r="B71" s="22" t="s">
        <v>213</v>
      </c>
      <c r="C71" s="23" t="str">
        <f>IFERROR(__xludf.DUMMYFUNCTION("GOOGLETRANSLATE(B71, ""en"", ""fr"")"),"Montrer le D-Pad virtuel")</f>
        <v>Montrer le D-Pad virtuel</v>
      </c>
      <c r="D71" s="23" t="str">
        <f>IFERROR(__xludf.DUMMYFUNCTION("GOOGLETRANSLATE(B71, ""en"", ""es"")"),"Mostrar el D-Pad virtual")</f>
        <v>Mostrar el D-Pad virtual</v>
      </c>
      <c r="E71" s="23" t="str">
        <f>IFERROR(__xludf.DUMMYFUNCTION("GOOGLETRANSLATE(B71, ""en"", ""ru"")"),"Показать виртуальный D-Pad")</f>
        <v>Показать виртуальный D-Pad</v>
      </c>
      <c r="F71" s="23" t="str">
        <f>IFERROR(__xludf.DUMMYFUNCTION("GOOGLETRANSLATE(B71, ""en"", ""tr"")"),"Sanal D-Pad'i göster")</f>
        <v>Sanal D-Pad'i göster</v>
      </c>
      <c r="G71" s="23" t="str">
        <f>IFERROR(__xludf.DUMMYFUNCTION("GOOGLETRANSLATE(B71, ""en"", ""pt"")"),"Mostre o d-pad virtual")</f>
        <v>Mostre o d-pad virtual</v>
      </c>
      <c r="H71" s="24" t="str">
        <f>IFERROR(__xludf.DUMMYFUNCTION("GOOGLETRANSLATE(B71, ""en"", ""de"")"),"Zeigen Sie das virtuelle D-Pad")</f>
        <v>Zeigen Sie das virtuelle D-Pad</v>
      </c>
      <c r="I71" s="23" t="str">
        <f>IFERROR(__xludf.DUMMYFUNCTION("GOOGLETRANSLATE(B71, ""en"", ""pl"")"),"Pokaż wirtualny d-pad")</f>
        <v>Pokaż wirtualny d-pad</v>
      </c>
      <c r="J71" s="25" t="str">
        <f>IFERROR(__xludf.DUMMYFUNCTION("GOOGLETRANSLATE(B71, ""en"", ""zh"")"),"显示虚拟D-Pad")</f>
        <v>显示虚拟D-Pad</v>
      </c>
      <c r="K71" s="25" t="str">
        <f>IFERROR(__xludf.DUMMYFUNCTION("GOOGLETRANSLATE(B71, ""en"", ""vi"")"),"Hiển thị D-Pad ảo")</f>
        <v>Hiển thị D-Pad ảo</v>
      </c>
      <c r="L71" s="23" t="str">
        <f>IFERROR(__xludf.DUMMYFUNCTION("GOOGLETRANSLATE(B71, ""en"", ""hr"")"),"Pokažite virtualni d-pad")</f>
        <v>Pokažite virtualni d-pad</v>
      </c>
      <c r="M71" s="23"/>
      <c r="N71" s="26"/>
      <c r="O71" s="26"/>
      <c r="P71" s="26"/>
      <c r="Q71" s="26"/>
      <c r="R71" s="26"/>
      <c r="S71" s="26"/>
      <c r="T71" s="26"/>
      <c r="U71" s="26"/>
      <c r="V71" s="26"/>
      <c r="W71" s="26"/>
      <c r="X71" s="26"/>
      <c r="Y71" s="26"/>
      <c r="Z71" s="26"/>
      <c r="AA71" s="26"/>
      <c r="AB71" s="26"/>
    </row>
    <row r="72">
      <c r="A72" s="21" t="s">
        <v>214</v>
      </c>
      <c r="B72" s="22" t="s">
        <v>215</v>
      </c>
      <c r="C72" s="23" t="s">
        <v>216</v>
      </c>
      <c r="D72" s="23" t="str">
        <f>IFERROR(__xludf.DUMMYFUNCTION("GOOGLETRANSLATE(B72, ""en"", ""es"")"),"Agregue los artículos recogidos a la barra caliente")</f>
        <v>Agregue los artículos recogidos a la barra caliente</v>
      </c>
      <c r="E72" s="23" t="str">
        <f>IFERROR(__xludf.DUMMYFUNCTION("GOOGLETRANSLATE(B72, ""en"", ""ru"")"),"Добавить забранные предметы в Hotbar")</f>
        <v>Добавить забранные предметы в Hotbar</v>
      </c>
      <c r="F72" s="23" t="str">
        <f>IFERROR(__xludf.DUMMYFUNCTION("GOOGLETRANSLATE(B72, ""en"", ""tr"")"),"Hotbar'a alınan öğeleri ekleyin")</f>
        <v>Hotbar'a alınan öğeleri ekleyin</v>
      </c>
      <c r="G72" s="23" t="str">
        <f>IFERROR(__xludf.DUMMYFUNCTION("GOOGLETRANSLATE(B72, ""en"", ""pt"")"),"Adicionar itens pegados ao hotbar")</f>
        <v>Adicionar itens pegados ao hotbar</v>
      </c>
      <c r="H72" s="24" t="str">
        <f>IFERROR(__xludf.DUMMYFUNCTION("GOOGLETRANSLATE(B72, ""en"", ""de"")"),"Fügen Sie abgeholte Artikel zu HotBar hinzu")</f>
        <v>Fügen Sie abgeholte Artikel zu HotBar hinzu</v>
      </c>
      <c r="I72" s="23" t="str">
        <f>IFERROR(__xludf.DUMMYFUNCTION("GOOGLETRANSLATE(B72, ""en"", ""pl"")"),"Dodaj wybrane przedmioty do Hotbar")</f>
        <v>Dodaj wybrane przedmioty do Hotbar</v>
      </c>
      <c r="J72" s="25" t="str">
        <f>IFERROR(__xludf.DUMMYFUNCTION("GOOGLETRANSLATE(B72, ""en"", ""zh"")"),"将拾取的物品添加到Hotbar")</f>
        <v>将拾取的物品添加到Hotbar</v>
      </c>
      <c r="K72" s="25" t="str">
        <f>IFERROR(__xludf.DUMMYFUNCTION("GOOGLETRANSLATE(B72, ""en"", ""vi"")"),"Thêm các mặt hàng được chọn vào Thanh nóng")</f>
        <v>Thêm các mặt hàng được chọn vào Thanh nóng</v>
      </c>
      <c r="L72" s="23" t="str">
        <f>IFERROR(__xludf.DUMMYFUNCTION("GOOGLETRANSLATE(B72, ""en"", ""hr"")"),"Dodajte pokupite predmete u hotbar")</f>
        <v>Dodajte pokupite predmete u hotbar</v>
      </c>
      <c r="M72" s="23"/>
      <c r="N72" s="26"/>
      <c r="O72" s="26"/>
      <c r="P72" s="26"/>
      <c r="Q72" s="26"/>
      <c r="R72" s="26"/>
      <c r="S72" s="26"/>
      <c r="T72" s="26"/>
      <c r="U72" s="26"/>
      <c r="V72" s="26"/>
      <c r="W72" s="26"/>
      <c r="X72" s="26"/>
      <c r="Y72" s="26"/>
      <c r="Z72" s="26"/>
      <c r="AA72" s="26"/>
      <c r="AB72" s="26"/>
    </row>
    <row r="73">
      <c r="A73" s="21" t="s">
        <v>217</v>
      </c>
      <c r="B73" s="22" t="s">
        <v>218</v>
      </c>
      <c r="C73" s="23" t="str">
        <f>IFERROR(__xludf.DUMMYFUNCTION("GOOGLETRANSLATE(B73, ""en"", ""fr"")"),"Chat Filtre de blasphème")</f>
        <v>Chat Filtre de blasphème</v>
      </c>
      <c r="D73" s="23" t="str">
        <f>IFERROR(__xludf.DUMMYFUNCTION("GOOGLETRANSLATE(B73, ""en"", ""es"")"),"Filtro de blasfemias de chat")</f>
        <v>Filtro de blasfemias de chat</v>
      </c>
      <c r="E73" s="23" t="str">
        <f>IFERROR(__xludf.DUMMYFUNCTION("GOOGLETRANSLATE(B73, ""en"", ""ru"")"),"Фильтр ненормативной лексики чата")</f>
        <v>Фильтр ненормативной лексики чата</v>
      </c>
      <c r="F73" s="23" t="str">
        <f>IFERROR(__xludf.DUMMYFUNCTION("GOOGLETRANSLATE(B73, ""en"", ""tr"")"),"Sohbet küfür filtresi")</f>
        <v>Sohbet küfür filtresi</v>
      </c>
      <c r="G73" s="23" t="str">
        <f>IFERROR(__xludf.DUMMYFUNCTION("GOOGLETRANSLATE(B73, ""en"", ""pt"")"),"Filtro de palavrões de bate -papo")</f>
        <v>Filtro de palavrões de bate -papo</v>
      </c>
      <c r="H73" s="24" t="str">
        <f>IFERROR(__xludf.DUMMYFUNCTION("GOOGLETRANSLATE(B73, ""en"", ""de"")"),"Chat Profanity Filter")</f>
        <v>Chat Profanity Filter</v>
      </c>
      <c r="I73" s="23" t="str">
        <f>IFERROR(__xludf.DUMMYFUNCTION("GOOGLETRANSLATE(B73, ""en"", ""pl"")"),"Filtr wulgaryzmów czatu")</f>
        <v>Filtr wulgaryzmów czatu</v>
      </c>
      <c r="J73" s="25" t="str">
        <f>IFERROR(__xludf.DUMMYFUNCTION("GOOGLETRANSLATE(B73, ""en"", ""zh"")"),"聊天亵渎过滤器")</f>
        <v>聊天亵渎过滤器</v>
      </c>
      <c r="K73" s="25" t="str">
        <f>IFERROR(__xludf.DUMMYFUNCTION("GOOGLETRANSLATE(B73, ""en"", ""vi"")"),"Trò chuyện bộ lọc thô tục")</f>
        <v>Trò chuyện bộ lọc thô tục</v>
      </c>
      <c r="L73" s="23" t="str">
        <f>IFERROR(__xludf.DUMMYFUNCTION("GOOGLETRANSLATE(B73, ""en"", ""hr"")"),"Chat Filter Filter")</f>
        <v>Chat Filter Filter</v>
      </c>
      <c r="M73" s="23"/>
      <c r="N73" s="26"/>
      <c r="O73" s="26"/>
      <c r="P73" s="26"/>
      <c r="Q73" s="26"/>
      <c r="R73" s="26"/>
      <c r="S73" s="26"/>
      <c r="T73" s="26"/>
      <c r="U73" s="26"/>
      <c r="V73" s="26"/>
      <c r="W73" s="26"/>
      <c r="X73" s="26"/>
      <c r="Y73" s="26"/>
      <c r="Z73" s="26"/>
      <c r="AA73" s="26"/>
      <c r="AB73" s="26"/>
    </row>
    <row r="74">
      <c r="A74" s="21" t="s">
        <v>219</v>
      </c>
      <c r="B74" s="22" t="s">
        <v>220</v>
      </c>
      <c r="C74" s="23" t="str">
        <f>IFERROR(__xludf.DUMMYFUNCTION("GOOGLETRANSLATE(B74, ""en"", ""fr"")"),"Scintillement léger")</f>
        <v>Scintillement léger</v>
      </c>
      <c r="D74" s="23" t="str">
        <f>IFERROR(__xludf.DUMMYFUNCTION("GOOGLETRANSLATE(B74, ""en"", ""es"")"),"Parpadeo de luz")</f>
        <v>Parpadeo de luz</v>
      </c>
      <c r="E74" s="23" t="str">
        <f>IFERROR(__xludf.DUMMYFUNCTION("GOOGLETRANSLATE(B74, ""en"", ""ru"")"),"Световая мерцание")</f>
        <v>Световая мерцание</v>
      </c>
      <c r="F74" s="23" t="str">
        <f>IFERROR(__xludf.DUMMYFUNCTION("GOOGLETRANSLATE(B74, ""en"", ""tr"")"),"Hafif titreşim")</f>
        <v>Hafif titreşim</v>
      </c>
      <c r="G74" s="23" t="str">
        <f>IFERROR(__xludf.DUMMYFUNCTION("GOOGLETRANSLATE(B74, ""en"", ""pt"")"),"Planagem de luz")</f>
        <v>Planagem de luz</v>
      </c>
      <c r="H74" s="24" t="str">
        <f>IFERROR(__xludf.DUMMYFUNCTION("GOOGLETRANSLATE(B74, ""en"", ""de"")"),"Leichtes Flackern")</f>
        <v>Leichtes Flackern</v>
      </c>
      <c r="I74" s="23" t="str">
        <f>IFERROR(__xludf.DUMMYFUNCTION("GOOGLETRANSLATE(B74, ""en"", ""pl"")"),"Lekki migotanie")</f>
        <v>Lekki migotanie</v>
      </c>
      <c r="J74" s="25" t="str">
        <f>IFERROR(__xludf.DUMMYFUNCTION("GOOGLETRANSLATE(B74, ""en"", ""zh"")"),"轻闪烁")</f>
        <v>轻闪烁</v>
      </c>
      <c r="K74" s="25" t="str">
        <f>IFERROR(__xludf.DUMMYFUNCTION("GOOGLETRANSLATE(B74, ""en"", ""vi"")"),"Ánh sáng nhấp nháy")</f>
        <v>Ánh sáng nhấp nháy</v>
      </c>
      <c r="L74" s="23" t="str">
        <f>IFERROR(__xludf.DUMMYFUNCTION("GOOGLETRANSLATE(B74, ""en"", ""hr"")"),"Lagano treperenje")</f>
        <v>Lagano treperenje</v>
      </c>
      <c r="M74" s="23"/>
      <c r="N74" s="26"/>
      <c r="O74" s="26"/>
      <c r="P74" s="26"/>
      <c r="Q74" s="26"/>
      <c r="R74" s="26"/>
      <c r="S74" s="26"/>
      <c r="T74" s="26"/>
      <c r="U74" s="26"/>
      <c r="V74" s="26"/>
      <c r="W74" s="26"/>
      <c r="X74" s="26"/>
      <c r="Y74" s="26"/>
      <c r="Z74" s="26"/>
      <c r="AA74" s="26"/>
      <c r="AB74" s="26"/>
    </row>
    <row r="75">
      <c r="A75" s="21" t="s">
        <v>221</v>
      </c>
      <c r="B75" s="22" t="s">
        <v>222</v>
      </c>
      <c r="C75" s="23" t="str">
        <f>IFERROR(__xludf.DUMMYFUNCTION("GOOGLETRANSLATE(B75, ""en"", ""fr"")"),"Afficher le compteur FPS")</f>
        <v>Afficher le compteur FPS</v>
      </c>
      <c r="D75" s="23" t="str">
        <f>IFERROR(__xludf.DUMMYFUNCTION("GOOGLETRANSLATE(B75, ""en"", ""es"")"),"Mostrar contador de FPS")</f>
        <v>Mostrar contador de FPS</v>
      </c>
      <c r="E75" s="23" t="str">
        <f>IFERROR(__xludf.DUMMYFUNCTION("GOOGLETRANSLATE(B75, ""en"", ""ru"")"),"Показать счетчик FPS")</f>
        <v>Показать счетчик FPS</v>
      </c>
      <c r="F75" s="23" t="str">
        <f>IFERROR(__xludf.DUMMYFUNCTION("GOOGLETRANSLATE(B75, ""en"", ""tr"")"),"FPS sayacı göster")</f>
        <v>FPS sayacı göster</v>
      </c>
      <c r="G75" s="23" t="str">
        <f>IFERROR(__xludf.DUMMYFUNCTION("GOOGLETRANSLATE(B75, ""en"", ""pt"")"),"Mostre contador de fps")</f>
        <v>Mostre contador de fps</v>
      </c>
      <c r="H75" s="24" t="str">
        <f>IFERROR(__xludf.DUMMYFUNCTION("GOOGLETRANSLATE(B75, ""en"", ""de"")"),"FPS -Zähler zeigen")</f>
        <v>FPS -Zähler zeigen</v>
      </c>
      <c r="I75" s="23" t="str">
        <f>IFERROR(__xludf.DUMMYFUNCTION("GOOGLETRANSLATE(B75, ""en"", ""pl"")"),"Pokaż licznik FPS")</f>
        <v>Pokaż licznik FPS</v>
      </c>
      <c r="J75" s="25" t="str">
        <f>IFERROR(__xludf.DUMMYFUNCTION("GOOGLETRANSLATE(B75, ""en"", ""zh"")"),"显示FPS计数器")</f>
        <v>显示FPS计数器</v>
      </c>
      <c r="K75" s="25" t="str">
        <f>IFERROR(__xludf.DUMMYFUNCTION("GOOGLETRANSLATE(B75, ""en"", ""vi"")"),"Hiển thị bộ đếm FPS")</f>
        <v>Hiển thị bộ đếm FPS</v>
      </c>
      <c r="L75" s="23" t="str">
        <f>IFERROR(__xludf.DUMMYFUNCTION("GOOGLETRANSLATE(B75, ""en"", ""hr"")"),"Prikaži FPS brojač")</f>
        <v>Prikaži FPS brojač</v>
      </c>
      <c r="M75" s="23"/>
      <c r="N75" s="26"/>
      <c r="O75" s="26"/>
      <c r="P75" s="26"/>
      <c r="Q75" s="26"/>
      <c r="R75" s="26"/>
      <c r="S75" s="26"/>
      <c r="T75" s="26"/>
      <c r="U75" s="26"/>
      <c r="V75" s="26"/>
      <c r="W75" s="26"/>
      <c r="X75" s="26"/>
      <c r="Y75" s="26"/>
      <c r="Z75" s="26"/>
      <c r="AA75" s="26"/>
      <c r="AB75" s="26"/>
    </row>
    <row r="76">
      <c r="A76" s="21" t="s">
        <v>223</v>
      </c>
      <c r="B76" s="22" t="s">
        <v>224</v>
      </c>
      <c r="C76" s="23" t="str">
        <f>IFERROR(__xludf.DUMMYFUNCTION("GOOGLETRANSLATE(B76, ""en"", ""fr"")"),"Créer un compte")</f>
        <v>Créer un compte</v>
      </c>
      <c r="D76" s="23" t="str">
        <f>IFERROR(__xludf.DUMMYFUNCTION("GOOGLETRANSLATE(B76, ""en"", ""es"")"),"Crear una cuenta")</f>
        <v>Crear una cuenta</v>
      </c>
      <c r="E76" s="23" t="str">
        <f>IFERROR(__xludf.DUMMYFUNCTION("GOOGLETRANSLATE(B76, ""en"", ""ru"")"),"Зарегистрироваться")</f>
        <v>Зарегистрироваться</v>
      </c>
      <c r="F76" s="23" t="str">
        <f>IFERROR(__xludf.DUMMYFUNCTION("GOOGLETRANSLATE(B76, ""en"", ""tr"")"),"Hesap oluştur")</f>
        <v>Hesap oluştur</v>
      </c>
      <c r="G76" s="23" t="str">
        <f>IFERROR(__xludf.DUMMYFUNCTION("GOOGLETRANSLATE(B76, ""en"", ""pt"")"),"Criar Conta")</f>
        <v>Criar Conta</v>
      </c>
      <c r="H76" s="24" t="str">
        <f>IFERROR(__xludf.DUMMYFUNCTION("GOOGLETRANSLATE(B76, ""en"", ""de"")"),"Konto anlegen")</f>
        <v>Konto anlegen</v>
      </c>
      <c r="I76" s="23" t="str">
        <f>IFERROR(__xludf.DUMMYFUNCTION("GOOGLETRANSLATE(B76, ""en"", ""pl"")"),"Utwórz konto")</f>
        <v>Utwórz konto</v>
      </c>
      <c r="J76" s="25" t="str">
        <f>IFERROR(__xludf.DUMMYFUNCTION("GOOGLETRANSLATE(B76, ""en"", ""zh"")"),"创建账户")</f>
        <v>创建账户</v>
      </c>
      <c r="K76" s="25" t="str">
        <f>IFERROR(__xludf.DUMMYFUNCTION("GOOGLETRANSLATE(B76, ""en"", ""vi"")"),"Tạo tài khoản")</f>
        <v>Tạo tài khoản</v>
      </c>
      <c r="L76" s="23" t="str">
        <f>IFERROR(__xludf.DUMMYFUNCTION("GOOGLETRANSLATE(B76, ""en"", ""hr"")"),"Stvori račun")</f>
        <v>Stvori račun</v>
      </c>
      <c r="M76" s="23"/>
      <c r="N76" s="26"/>
      <c r="O76" s="26"/>
      <c r="P76" s="26"/>
      <c r="Q76" s="26"/>
      <c r="R76" s="26"/>
      <c r="S76" s="26"/>
      <c r="T76" s="26"/>
      <c r="U76" s="26"/>
      <c r="V76" s="26"/>
      <c r="W76" s="26"/>
      <c r="X76" s="26"/>
      <c r="Y76" s="26"/>
      <c r="Z76" s="26"/>
      <c r="AA76" s="26"/>
      <c r="AB76" s="26"/>
    </row>
    <row r="77">
      <c r="A77" s="21" t="s">
        <v>225</v>
      </c>
      <c r="B77" s="22" t="s">
        <v>226</v>
      </c>
      <c r="C77" s="23" t="s">
        <v>227</v>
      </c>
      <c r="D77" s="23" t="str">
        <f>IFERROR(__xludf.DUMMYFUNCTION("GOOGLETRANSLATE(B77, ""en"", ""es"")"),"Elija un nombre de usuario y contraseña para guardar este personaje para que pueda iniciar sesión más tarde.")</f>
        <v>Elija un nombre de usuario y contraseña para guardar este personaje para que pueda iniciar sesión más tarde.</v>
      </c>
      <c r="E77" s="23" t="str">
        <f>IFERROR(__xludf.DUMMYFUNCTION("GOOGLETRANSLATE(B77,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7" s="23" t="str">
        <f>IFERROR(__xludf.DUMMYFUNCTION("GOOGLETRANSLATE(B77, ""en"", ""tr"")"),"Daha sonra giriş yapabilmeniz için bu karakteri kaydetmek için bir kullanıcı adı ve şifre seçin.")</f>
        <v>Daha sonra giriş yapabilmeniz için bu karakteri kaydetmek için bir kullanıcı adı ve şifre seçin.</v>
      </c>
      <c r="G77" s="23" t="str">
        <f>IFERROR(__xludf.DUMMYFUNCTION("GOOGLETRANSLATE(B77, ""en"", ""pt"")"),"Escolha um nome de usuário e senha para salvar esse personagem para que você possa fazer login posteriormente.")</f>
        <v>Escolha um nome de usuário e senha para salvar esse personagem para que você possa fazer login posteriormente.</v>
      </c>
      <c r="H77" s="24" t="str">
        <f>IFERROR(__xludf.DUMMYFUNCTION("GOOGLETRANSLATE(B77, ""en"", ""de"")"),"Wählen Sie einen Benutzernamen und ein Passwort, um dieses Zeichen zu speichern, damit Sie sich später anmelden können.")</f>
        <v>Wählen Sie einen Benutzernamen und ein Passwort, um dieses Zeichen zu speichern, damit Sie sich später anmelden können.</v>
      </c>
      <c r="I77" s="23" t="str">
        <f>IFERROR(__xludf.DUMMYFUNCTION("GOOGLETRANSLATE(B77, ""en"", ""pl"")"),"Wybierz nazwę użytkownika i hasło, aby zapisać ten znak, aby można było później zalogować się.")</f>
        <v>Wybierz nazwę użytkownika i hasło, aby zapisać ten znak, aby można było później zalogować się.</v>
      </c>
      <c r="J77" s="25" t="str">
        <f>IFERROR(__xludf.DUMMYFUNCTION("GOOGLETRANSLATE(B77, ""en"", ""zh"")"),"选择一个用户名和密码来保存此字符，以便您以后登录。")</f>
        <v>选择一个用户名和密码来保存此字符，以便您以后登录。</v>
      </c>
      <c r="K77" s="25" t="str">
        <f>IFERROR(__xludf.DUMMYFUNCTION("GOOGLETRANSLATE(B77, ""en"", ""vi"")"),"Chọn tên người dùng và mật khẩu để lưu ký tự này để bạn có thể đăng nhập sau.")</f>
        <v>Chọn tên người dùng và mật khẩu để lưu ký tự này để bạn có thể đăng nhập sau.</v>
      </c>
      <c r="L77" s="23" t="str">
        <f>IFERROR(__xludf.DUMMYFUNCTION("GOOGLETRANSLATE(B77, ""en"", ""hr"")"),"Odaberite korisničko ime i lozinku da biste spremili ovaj znak kako biste se mogli prijaviti kasnije.")</f>
        <v>Odaberite korisničko ime i lozinku da biste spremili ovaj znak kako biste se mogli prijaviti kasnije.</v>
      </c>
      <c r="M77" s="23"/>
      <c r="N77" s="26"/>
      <c r="O77" s="26"/>
      <c r="P77" s="26"/>
      <c r="Q77" s="26"/>
      <c r="R77" s="26"/>
      <c r="S77" s="26"/>
      <c r="T77" s="26"/>
      <c r="U77" s="26"/>
      <c r="V77" s="26"/>
      <c r="W77" s="26"/>
      <c r="X77" s="26"/>
      <c r="Y77" s="26"/>
      <c r="Z77" s="26"/>
      <c r="AA77" s="26"/>
      <c r="AB77" s="26"/>
    </row>
    <row r="78">
      <c r="A78" s="21" t="s">
        <v>228</v>
      </c>
      <c r="B78" s="22" t="s">
        <v>229</v>
      </c>
      <c r="C78" s="23" t="str">
        <f>IFERROR(__xludf.DUMMYFUNCTION("GOOGLETRANSLATE(B78, ""en"", ""fr"")"),"Entrez un nom d'utilisateur")</f>
        <v>Entrez un nom d'utilisateur</v>
      </c>
      <c r="D78" s="23" t="str">
        <f>IFERROR(__xludf.DUMMYFUNCTION("GOOGLETRANSLATE(B78, ""en"", ""es"")"),"Introduzca un nombre de usuario")</f>
        <v>Introduzca un nombre de usuario</v>
      </c>
      <c r="E78" s="23" t="str">
        <f>IFERROR(__xludf.DUMMYFUNCTION("GOOGLETRANSLATE(B78, ""en"", ""ru"")"),"Введите имя пользователя")</f>
        <v>Введите имя пользователя</v>
      </c>
      <c r="F78" s="23" t="str">
        <f>IFERROR(__xludf.DUMMYFUNCTION("GOOGLETRANSLATE(B78, ""en"", ""tr"")"),"Kullanıcı Adı girin")</f>
        <v>Kullanıcı Adı girin</v>
      </c>
      <c r="G78" s="23" t="str">
        <f>IFERROR(__xludf.DUMMYFUNCTION("GOOGLETRANSLATE(B78, ""en"", ""pt"")"),"Digite um nome de usuário")</f>
        <v>Digite um nome de usuário</v>
      </c>
      <c r="H78" s="24" t="str">
        <f>IFERROR(__xludf.DUMMYFUNCTION("GOOGLETRANSLATE(B78, ""en"", ""de"")"),"Gebe einen Benutzernamen ein")</f>
        <v>Gebe einen Benutzernamen ein</v>
      </c>
      <c r="I78" s="23" t="str">
        <f>IFERROR(__xludf.DUMMYFUNCTION("GOOGLETRANSLATE(B78, ""en"", ""pl"")"),"Wpisz nazwę użytkownika")</f>
        <v>Wpisz nazwę użytkownika</v>
      </c>
      <c r="J78" s="25" t="str">
        <f>IFERROR(__xludf.DUMMYFUNCTION("GOOGLETRANSLATE(B78, ""en"", ""zh"")"),"输入用户名")</f>
        <v>输入用户名</v>
      </c>
      <c r="K78" s="25" t="str">
        <f>IFERROR(__xludf.DUMMYFUNCTION("GOOGLETRANSLATE(B78, ""en"", ""vi"")"),"Nhập tên người sử dụng")</f>
        <v>Nhập tên người sử dụng</v>
      </c>
      <c r="L78" s="23" t="str">
        <f>IFERROR(__xludf.DUMMYFUNCTION("GOOGLETRANSLATE(B78, ""en"", ""hr"")"),"Unesite korisničko ime")</f>
        <v>Unesite korisničko ime</v>
      </c>
      <c r="M78" s="23"/>
      <c r="N78" s="26"/>
      <c r="O78" s="26"/>
      <c r="P78" s="26"/>
      <c r="Q78" s="26"/>
      <c r="R78" s="26"/>
      <c r="S78" s="26"/>
      <c r="T78" s="26"/>
      <c r="U78" s="26"/>
      <c r="V78" s="26"/>
      <c r="W78" s="26"/>
      <c r="X78" s="26"/>
      <c r="Y78" s="26"/>
      <c r="Z78" s="26"/>
      <c r="AA78" s="26"/>
      <c r="AB78" s="26"/>
    </row>
    <row r="79">
      <c r="A79" s="21" t="s">
        <v>230</v>
      </c>
      <c r="B79" s="22" t="s">
        <v>231</v>
      </c>
      <c r="C79" s="23" t="str">
        <f>IFERROR(__xludf.DUMMYFUNCTION("GOOGLETRANSLATE(B79, ""en"", ""fr"")"),"Entrer un mot de passe")</f>
        <v>Entrer un mot de passe</v>
      </c>
      <c r="D79" s="23" t="str">
        <f>IFERROR(__xludf.DUMMYFUNCTION("GOOGLETRANSLATE(B79, ""en"", ""es"")"),"Ingrese una contraseña")</f>
        <v>Ingrese una contraseña</v>
      </c>
      <c r="E79" s="23" t="str">
        <f>IFERROR(__xludf.DUMMYFUNCTION("GOOGLETRANSLATE(B79, ""en"", ""ru"")"),"введите пароль")</f>
        <v>введите пароль</v>
      </c>
      <c r="F79" s="23" t="str">
        <f>IFERROR(__xludf.DUMMYFUNCTION("GOOGLETRANSLATE(B79, ""en"", ""tr"")"),"Bir parola girin")</f>
        <v>Bir parola girin</v>
      </c>
      <c r="G79" s="23" t="str">
        <f>IFERROR(__xludf.DUMMYFUNCTION("GOOGLETRANSLATE(B79, ""en"", ""pt"")"),"insira uma senha")</f>
        <v>insira uma senha</v>
      </c>
      <c r="H79" s="24" t="str">
        <f>IFERROR(__xludf.DUMMYFUNCTION("GOOGLETRANSLATE(B79, ""en"", ""de"")"),"Geben Sie ein Passwort ein")</f>
        <v>Geben Sie ein Passwort ein</v>
      </c>
      <c r="I79" s="23" t="str">
        <f>IFERROR(__xludf.DUMMYFUNCTION("GOOGLETRANSLATE(B79, ""en"", ""pl"")"),"Wpisz hasło")</f>
        <v>Wpisz hasło</v>
      </c>
      <c r="J79" s="25" t="str">
        <f>IFERROR(__xludf.DUMMYFUNCTION("GOOGLETRANSLATE(B79, ""en"", ""zh"")"),"输入密码")</f>
        <v>输入密码</v>
      </c>
      <c r="K79" s="25" t="str">
        <f>IFERROR(__xludf.DUMMYFUNCTION("GOOGLETRANSLATE(B79, ""en"", ""vi"")"),"nhập mật khẩu")</f>
        <v>nhập mật khẩu</v>
      </c>
      <c r="L79" s="23" t="str">
        <f>IFERROR(__xludf.DUMMYFUNCTION("GOOGLETRANSLATE(B79, ""en"", ""hr"")"),"Unesite lozinku")</f>
        <v>Unesite lozinku</v>
      </c>
      <c r="M79" s="23"/>
      <c r="N79" s="26"/>
      <c r="O79" s="26"/>
      <c r="P79" s="26"/>
      <c r="Q79" s="26"/>
      <c r="R79" s="26"/>
      <c r="S79" s="26"/>
      <c r="T79" s="26"/>
      <c r="U79" s="26"/>
      <c r="V79" s="26"/>
      <c r="W79" s="26"/>
      <c r="X79" s="26"/>
      <c r="Y79" s="26"/>
      <c r="Z79" s="26"/>
      <c r="AA79" s="26"/>
      <c r="AB79" s="26"/>
    </row>
    <row r="80">
      <c r="A80" s="21" t="s">
        <v>224</v>
      </c>
      <c r="B80" s="22" t="s">
        <v>224</v>
      </c>
      <c r="C80" s="23" t="str">
        <f>IFERROR(__xludf.DUMMYFUNCTION("GOOGLETRANSLATE(B80, ""en"", ""fr"")"),"Créer un compte")</f>
        <v>Créer un compte</v>
      </c>
      <c r="D80" s="23" t="str">
        <f>IFERROR(__xludf.DUMMYFUNCTION("GOOGLETRANSLATE(B80, ""en"", ""es"")"),"Crear una cuenta")</f>
        <v>Crear una cuenta</v>
      </c>
      <c r="E80" s="23" t="str">
        <f>IFERROR(__xludf.DUMMYFUNCTION("GOOGLETRANSLATE(B80, ""en"", ""ru"")"),"Зарегистрироваться")</f>
        <v>Зарегистрироваться</v>
      </c>
      <c r="F80" s="23" t="str">
        <f>IFERROR(__xludf.DUMMYFUNCTION("GOOGLETRANSLATE(B80, ""en"", ""tr"")"),"Hesap oluştur")</f>
        <v>Hesap oluştur</v>
      </c>
      <c r="G80" s="23" t="str">
        <f>IFERROR(__xludf.DUMMYFUNCTION("GOOGLETRANSLATE(B80, ""en"", ""pt"")"),"Criar Conta")</f>
        <v>Criar Conta</v>
      </c>
      <c r="H80" s="24" t="str">
        <f>IFERROR(__xludf.DUMMYFUNCTION("GOOGLETRANSLATE(B80, ""en"", ""de"")"),"Konto anlegen")</f>
        <v>Konto anlegen</v>
      </c>
      <c r="I80" s="23" t="str">
        <f>IFERROR(__xludf.DUMMYFUNCTION("GOOGLETRANSLATE(B80, ""en"", ""pl"")"),"Utwórz konto")</f>
        <v>Utwórz konto</v>
      </c>
      <c r="J80" s="25" t="str">
        <f>IFERROR(__xludf.DUMMYFUNCTION("GOOGLETRANSLATE(B80, ""en"", ""zh"")"),"创建账户")</f>
        <v>创建账户</v>
      </c>
      <c r="K80" s="25" t="str">
        <f>IFERROR(__xludf.DUMMYFUNCTION("GOOGLETRANSLATE(B80, ""en"", ""vi"")"),"Tạo tài khoản")</f>
        <v>Tạo tài khoản</v>
      </c>
      <c r="L80" s="23" t="str">
        <f>IFERROR(__xludf.DUMMYFUNCTION("GOOGLETRANSLATE(B80, ""en"", ""hr"")"),"Stvori račun")</f>
        <v>Stvori račun</v>
      </c>
      <c r="M80" s="23"/>
      <c r="N80" s="26"/>
      <c r="O80" s="26"/>
      <c r="P80" s="26"/>
      <c r="Q80" s="26"/>
      <c r="R80" s="26"/>
      <c r="S80" s="26"/>
      <c r="T80" s="26"/>
      <c r="U80" s="26"/>
      <c r="V80" s="26"/>
      <c r="W80" s="26"/>
      <c r="X80" s="26"/>
      <c r="Y80" s="26"/>
      <c r="Z80" s="26"/>
      <c r="AA80" s="26"/>
      <c r="AB80" s="26"/>
    </row>
    <row r="81">
      <c r="A81" s="21" t="s">
        <v>232</v>
      </c>
      <c r="B81" s="22" t="s">
        <v>232</v>
      </c>
      <c r="C81" s="23" t="s">
        <v>233</v>
      </c>
      <c r="D81" s="23" t="str">
        <f>IFERROR(__xludf.DUMMYFUNCTION("GOOGLETRANSLATE(B81, ""en"", ""es"")"),"Nombre de usuario tomado")</f>
        <v>Nombre de usuario tomado</v>
      </c>
      <c r="E81" s="23" t="str">
        <f>IFERROR(__xludf.DUMMYFUNCTION("GOOGLETRANSLATE(B81, ""en"", ""ru"")"),"Имя пользователя принято")</f>
        <v>Имя пользователя принято</v>
      </c>
      <c r="F81" s="23" t="str">
        <f>IFERROR(__xludf.DUMMYFUNCTION("GOOGLETRANSLATE(B81, ""en"", ""tr"")"),"Kullanıcı adı alınmış")</f>
        <v>Kullanıcı adı alınmış</v>
      </c>
      <c r="G81" s="23" t="str">
        <f>IFERROR(__xludf.DUMMYFUNCTION("GOOGLETRANSLATE(B81, ""en"", ""pt"")"),"Nome de usuário já utilizado")</f>
        <v>Nome de usuário já utilizado</v>
      </c>
      <c r="H81" s="24" t="str">
        <f>IFERROR(__xludf.DUMMYFUNCTION("GOOGLETRANSLATE(B81, ""en"", ""de"")"),"Benutzername vergeben")</f>
        <v>Benutzername vergeben</v>
      </c>
      <c r="I81" s="23" t="str">
        <f>IFERROR(__xludf.DUMMYFUNCTION("GOOGLETRANSLATE(B81, ""en"", ""pl"")"),"Nazwa użytkownika zajęta")</f>
        <v>Nazwa użytkownika zajęta</v>
      </c>
      <c r="J81" s="25" t="str">
        <f>IFERROR(__xludf.DUMMYFUNCTION("GOOGLETRANSLATE(B81, ""en"", ""zh"")"),"用户名已被使用")</f>
        <v>用户名已被使用</v>
      </c>
      <c r="K81" s="25" t="str">
        <f>IFERROR(__xludf.DUMMYFUNCTION("GOOGLETRANSLATE(B81, ""en"", ""vi"")"),"Tên này đã dc sử dụng")</f>
        <v>Tên này đã dc sử dụng</v>
      </c>
      <c r="L81" s="23" t="str">
        <f>IFERROR(__xludf.DUMMYFUNCTION("GOOGLETRANSLATE(B81, ""en"", ""hr"")"),"Korisničko ime zauzeto")</f>
        <v>Korisničko ime zauzeto</v>
      </c>
      <c r="M81" s="23"/>
      <c r="N81" s="26"/>
      <c r="O81" s="26"/>
      <c r="P81" s="26"/>
      <c r="Q81" s="26"/>
      <c r="R81" s="26"/>
      <c r="S81" s="26"/>
      <c r="T81" s="26"/>
      <c r="U81" s="26"/>
      <c r="V81" s="26"/>
      <c r="W81" s="26"/>
      <c r="X81" s="26"/>
      <c r="Y81" s="26"/>
      <c r="Z81" s="26"/>
      <c r="AA81" s="26"/>
      <c r="AB81" s="26"/>
    </row>
    <row r="82">
      <c r="A82" s="21" t="s">
        <v>234</v>
      </c>
      <c r="B82" s="22" t="s">
        <v>235</v>
      </c>
      <c r="C82" s="23" t="str">
        <f>IFERROR(__xludf.DUMMYFUNCTION("GOOGLETRANSLATE(B82, ""en"", ""fr"")"),"Compte")</f>
        <v>Compte</v>
      </c>
      <c r="D82" s="23" t="str">
        <f>IFERROR(__xludf.DUMMYFUNCTION("GOOGLETRANSLATE(B82, ""en"", ""es"")"),"Cuenta")</f>
        <v>Cuenta</v>
      </c>
      <c r="E82" s="23" t="str">
        <f>IFERROR(__xludf.DUMMYFUNCTION("GOOGLETRANSLATE(B82, ""en"", ""ru"")"),"Счет")</f>
        <v>Счет</v>
      </c>
      <c r="F82" s="23" t="str">
        <f>IFERROR(__xludf.DUMMYFUNCTION("GOOGLETRANSLATE(B82, ""en"", ""tr"")"),"Hesap")</f>
        <v>Hesap</v>
      </c>
      <c r="G82" s="23" t="str">
        <f>IFERROR(__xludf.DUMMYFUNCTION("GOOGLETRANSLATE(B82, ""en"", ""pt"")"),"Conta")</f>
        <v>Conta</v>
      </c>
      <c r="H82" s="24" t="str">
        <f>IFERROR(__xludf.DUMMYFUNCTION("GOOGLETRANSLATE(B82, ""en"", ""de"")"),"Konto")</f>
        <v>Konto</v>
      </c>
      <c r="I82" s="23" t="str">
        <f>IFERROR(__xludf.DUMMYFUNCTION("GOOGLETRANSLATE(B82, ""en"", ""pl"")"),"Rachunek")</f>
        <v>Rachunek</v>
      </c>
      <c r="J82" s="25" t="str">
        <f>IFERROR(__xludf.DUMMYFUNCTION("GOOGLETRANSLATE(B82, ""en"", ""zh"")"),"帐户")</f>
        <v>帐户</v>
      </c>
      <c r="K82" s="25" t="str">
        <f>IFERROR(__xludf.DUMMYFUNCTION("GOOGLETRANSLATE(B82, ""en"", ""vi"")"),"Tài khoản")</f>
        <v>Tài khoản</v>
      </c>
      <c r="L82" s="23" t="str">
        <f>IFERROR(__xludf.DUMMYFUNCTION("GOOGLETRANSLATE(B82, ""en"", ""hr"")"),"Račun")</f>
        <v>Račun</v>
      </c>
      <c r="M82" s="23"/>
      <c r="N82" s="26"/>
      <c r="O82" s="26"/>
      <c r="P82" s="26"/>
      <c r="Q82" s="26"/>
      <c r="R82" s="26"/>
      <c r="S82" s="26"/>
      <c r="T82" s="26"/>
      <c r="U82" s="26"/>
      <c r="V82" s="26"/>
      <c r="W82" s="26"/>
      <c r="X82" s="26"/>
      <c r="Y82" s="26"/>
      <c r="Z82" s="26"/>
      <c r="AA82" s="26"/>
      <c r="AB82" s="26"/>
    </row>
    <row r="83">
      <c r="A83" s="21" t="s">
        <v>236</v>
      </c>
      <c r="B83" s="22" t="s">
        <v>237</v>
      </c>
      <c r="C83" s="23" t="str">
        <f>IFERROR(__xludf.DUMMYFUNCTION("GOOGLETRANSLATE(B83, ""en"", ""fr"")"),"Changer le mot de passe")</f>
        <v>Changer le mot de passe</v>
      </c>
      <c r="D83" s="23" t="str">
        <f>IFERROR(__xludf.DUMMYFUNCTION("GOOGLETRANSLATE(B83, ""en"", ""es"")"),"Cambia la contraseña")</f>
        <v>Cambia la contraseña</v>
      </c>
      <c r="E83" s="23" t="str">
        <f>IFERROR(__xludf.DUMMYFUNCTION("GOOGLETRANSLATE(B83, ""en"", ""ru"")"),"Изменить пароль")</f>
        <v>Изменить пароль</v>
      </c>
      <c r="F83" s="23" t="str">
        <f>IFERROR(__xludf.DUMMYFUNCTION("GOOGLETRANSLATE(B83, ""en"", ""tr"")"),"Şifre değiştir")</f>
        <v>Şifre değiştir</v>
      </c>
      <c r="G83" s="23" t="str">
        <f>IFERROR(__xludf.DUMMYFUNCTION("GOOGLETRANSLATE(B83, ""en"", ""pt"")"),"Mudar senha")</f>
        <v>Mudar senha</v>
      </c>
      <c r="H83" s="24" t="str">
        <f>IFERROR(__xludf.DUMMYFUNCTION("GOOGLETRANSLATE(B83, ""en"", ""de"")"),"Passwort ändern")</f>
        <v>Passwort ändern</v>
      </c>
      <c r="I83" s="23" t="str">
        <f>IFERROR(__xludf.DUMMYFUNCTION("GOOGLETRANSLATE(B83, ""en"", ""pl"")"),"Zmień hasło")</f>
        <v>Zmień hasło</v>
      </c>
      <c r="J83" s="25" t="str">
        <f>IFERROR(__xludf.DUMMYFUNCTION("GOOGLETRANSLATE(B83, ""en"", ""zh"")"),"更改密码")</f>
        <v>更改密码</v>
      </c>
      <c r="K83" s="25" t="str">
        <f>IFERROR(__xludf.DUMMYFUNCTION("GOOGLETRANSLATE(B83, ""en"", ""vi"")"),"Đổi mật khẩu")</f>
        <v>Đổi mật khẩu</v>
      </c>
      <c r="L83" s="23" t="str">
        <f>IFERROR(__xludf.DUMMYFUNCTION("GOOGLETRANSLATE(B83, ""en"", ""hr"")"),"Promijenite lozinku")</f>
        <v>Promijenite lozinku</v>
      </c>
      <c r="M83" s="23"/>
      <c r="N83" s="26"/>
      <c r="O83" s="26"/>
      <c r="P83" s="26"/>
      <c r="Q83" s="26"/>
      <c r="R83" s="26"/>
      <c r="S83" s="26"/>
      <c r="T83" s="26"/>
      <c r="U83" s="26"/>
      <c r="V83" s="26"/>
      <c r="W83" s="26"/>
      <c r="X83" s="26"/>
      <c r="Y83" s="26"/>
      <c r="Z83" s="26"/>
      <c r="AA83" s="26"/>
      <c r="AB83" s="26"/>
    </row>
    <row r="84">
      <c r="A84" s="21" t="s">
        <v>238</v>
      </c>
      <c r="B84" s="22" t="s">
        <v>239</v>
      </c>
      <c r="C84" s="23" t="str">
        <f>IFERROR(__xludf.DUMMYFUNCTION("GOOGLETRANSLATE(B84, ""en"", ""fr"")"),"Changer de nom")</f>
        <v>Changer de nom</v>
      </c>
      <c r="D84" s="23" t="str">
        <f>IFERROR(__xludf.DUMMYFUNCTION("GOOGLETRANSLATE(B84, ""en"", ""es"")"),"Cambiar nombre")</f>
        <v>Cambiar nombre</v>
      </c>
      <c r="E84" s="23" t="str">
        <f>IFERROR(__xludf.DUMMYFUNCTION("GOOGLETRANSLATE(B84, ""en"", ""ru"")"),"Изменить имя")</f>
        <v>Изменить имя</v>
      </c>
      <c r="F84" s="23" t="str">
        <f>IFERROR(__xludf.DUMMYFUNCTION("GOOGLETRANSLATE(B84, ""en"", ""tr"")"),"İsmini değiştir")</f>
        <v>İsmini değiştir</v>
      </c>
      <c r="G84" s="23" t="str">
        <f>IFERROR(__xludf.DUMMYFUNCTION("GOOGLETRANSLATE(B84, ""en"", ""pt"")"),"Mude o nome")</f>
        <v>Mude o nome</v>
      </c>
      <c r="H84" s="24" t="str">
        <f>IFERROR(__xludf.DUMMYFUNCTION("GOOGLETRANSLATE(B84, ""en"", ""de"")"),"Namen ändern")</f>
        <v>Namen ändern</v>
      </c>
      <c r="I84" s="23" t="str">
        <f>IFERROR(__xludf.DUMMYFUNCTION("GOOGLETRANSLATE(B84, ""en"", ""pl"")"),"Zmień nazwę")</f>
        <v>Zmień nazwę</v>
      </c>
      <c r="J84" s="25" t="str">
        <f>IFERROR(__xludf.DUMMYFUNCTION("GOOGLETRANSLATE(B84, ""en"", ""zh"")"),"更换名字")</f>
        <v>更换名字</v>
      </c>
      <c r="K84" s="25" t="str">
        <f>IFERROR(__xludf.DUMMYFUNCTION("GOOGLETRANSLATE(B84, ""en"", ""vi"")"),"Đổi tên")</f>
        <v>Đổi tên</v>
      </c>
      <c r="L84" s="23" t="str">
        <f>IFERROR(__xludf.DUMMYFUNCTION("GOOGLETRANSLATE(B84, ""en"", ""hr"")"),"Promijenite ime")</f>
        <v>Promijenite ime</v>
      </c>
      <c r="M84" s="23"/>
      <c r="N84" s="26"/>
      <c r="O84" s="26"/>
      <c r="P84" s="26"/>
      <c r="Q84" s="26"/>
      <c r="R84" s="26"/>
      <c r="S84" s="26"/>
      <c r="T84" s="26"/>
      <c r="U84" s="26"/>
      <c r="V84" s="26"/>
      <c r="W84" s="26"/>
      <c r="X84" s="26"/>
      <c r="Y84" s="26"/>
      <c r="Z84" s="26"/>
      <c r="AA84" s="26"/>
      <c r="AB84" s="26"/>
    </row>
    <row r="85">
      <c r="A85" s="21" t="s">
        <v>240</v>
      </c>
      <c r="B85" s="22" t="s">
        <v>240</v>
      </c>
      <c r="C85" s="23" t="str">
        <f>IFERROR(__xludf.DUMMYFUNCTION("GOOGLETRANSLATE(B85, ""en"", ""fr"")"),"Mot de passe actuel")</f>
        <v>Mot de passe actuel</v>
      </c>
      <c r="D85" s="23" t="str">
        <f>IFERROR(__xludf.DUMMYFUNCTION("GOOGLETRANSLATE(B85, ""en"", ""es"")"),"Contraseña actual")</f>
        <v>Contraseña actual</v>
      </c>
      <c r="E85" s="23" t="str">
        <f>IFERROR(__xludf.DUMMYFUNCTION("GOOGLETRANSLATE(B85, ""en"", ""ru"")"),"Текущий пароль")</f>
        <v>Текущий пароль</v>
      </c>
      <c r="F85" s="23" t="str">
        <f>IFERROR(__xludf.DUMMYFUNCTION("GOOGLETRANSLATE(B85, ""en"", ""tr"")"),"Mevcut Şifre")</f>
        <v>Mevcut Şifre</v>
      </c>
      <c r="G85" s="23" t="str">
        <f>IFERROR(__xludf.DUMMYFUNCTION("GOOGLETRANSLATE(B85, ""en"", ""pt"")"),"Senha atual")</f>
        <v>Senha atual</v>
      </c>
      <c r="H85" s="24" t="str">
        <f>IFERROR(__xludf.DUMMYFUNCTION("GOOGLETRANSLATE(B85, ""en"", ""de"")"),"Jetziges Passwort")</f>
        <v>Jetziges Passwort</v>
      </c>
      <c r="I85" s="23" t="str">
        <f>IFERROR(__xludf.DUMMYFUNCTION("GOOGLETRANSLATE(B85, ""en"", ""pl"")"),"Aktualne hasło")</f>
        <v>Aktualne hasło</v>
      </c>
      <c r="J85" s="25" t="str">
        <f>IFERROR(__xludf.DUMMYFUNCTION("GOOGLETRANSLATE(B85, ""en"", ""zh"")"),"当前密码")</f>
        <v>当前密码</v>
      </c>
      <c r="K85" s="25" t="str">
        <f>IFERROR(__xludf.DUMMYFUNCTION("GOOGLETRANSLATE(B85, ""en"", ""vi"")"),"Mật khẩu hiện tại")</f>
        <v>Mật khẩu hiện tại</v>
      </c>
      <c r="L85" s="23" t="str">
        <f>IFERROR(__xludf.DUMMYFUNCTION("GOOGLETRANSLATE(B85, ""en"", ""hr"")"),"Trenutna lozinka")</f>
        <v>Trenutna lozinka</v>
      </c>
      <c r="M85" s="23"/>
      <c r="N85" s="26"/>
      <c r="O85" s="26"/>
      <c r="P85" s="26"/>
      <c r="Q85" s="26"/>
      <c r="R85" s="26"/>
      <c r="S85" s="26"/>
      <c r="T85" s="26"/>
      <c r="U85" s="26"/>
      <c r="V85" s="26"/>
      <c r="W85" s="26"/>
      <c r="X85" s="26"/>
      <c r="Y85" s="26"/>
      <c r="Z85" s="26"/>
      <c r="AA85" s="26"/>
      <c r="AB85" s="26"/>
    </row>
    <row r="86">
      <c r="A86" s="21" t="s">
        <v>241</v>
      </c>
      <c r="B86" s="22" t="s">
        <v>241</v>
      </c>
      <c r="C86" s="23" t="str">
        <f>IFERROR(__xludf.DUMMYFUNCTION("GOOGLETRANSLATE(B86, ""en"", ""fr"")"),"Nouveau mot de passe")</f>
        <v>Nouveau mot de passe</v>
      </c>
      <c r="D86" s="23" t="str">
        <f>IFERROR(__xludf.DUMMYFUNCTION("GOOGLETRANSLATE(B86, ""en"", ""es"")"),"Nueva contraseña")</f>
        <v>Nueva contraseña</v>
      </c>
      <c r="E86" s="23" t="str">
        <f>IFERROR(__xludf.DUMMYFUNCTION("GOOGLETRANSLATE(B86, ""en"", ""ru"")"),"Новый пароль")</f>
        <v>Новый пароль</v>
      </c>
      <c r="F86" s="23" t="str">
        <f>IFERROR(__xludf.DUMMYFUNCTION("GOOGLETRANSLATE(B86, ""en"", ""tr"")"),"Yeni Şifre")</f>
        <v>Yeni Şifre</v>
      </c>
      <c r="G86" s="23" t="str">
        <f>IFERROR(__xludf.DUMMYFUNCTION("GOOGLETRANSLATE(B86, ""en"", ""pt"")"),"Nova Senha")</f>
        <v>Nova Senha</v>
      </c>
      <c r="H86" s="24" t="str">
        <f>IFERROR(__xludf.DUMMYFUNCTION("GOOGLETRANSLATE(B86, ""en"", ""de"")"),"Neues Passwort")</f>
        <v>Neues Passwort</v>
      </c>
      <c r="I86" s="23" t="str">
        <f>IFERROR(__xludf.DUMMYFUNCTION("GOOGLETRANSLATE(B86, ""en"", ""pl"")"),"Nowe hasło")</f>
        <v>Nowe hasło</v>
      </c>
      <c r="J86" s="25" t="str">
        <f>IFERROR(__xludf.DUMMYFUNCTION("GOOGLETRANSLATE(B86, ""en"", ""zh"")"),"新密码")</f>
        <v>新密码</v>
      </c>
      <c r="K86" s="25" t="str">
        <f>IFERROR(__xludf.DUMMYFUNCTION("GOOGLETRANSLATE(B86, ""en"", ""vi"")"),"Mật khẩu mới")</f>
        <v>Mật khẩu mới</v>
      </c>
      <c r="L86" s="23" t="str">
        <f>IFERROR(__xludf.DUMMYFUNCTION("GOOGLETRANSLATE(B86, ""en"", ""hr"")"),"Nova lozinka")</f>
        <v>Nova lozinka</v>
      </c>
      <c r="M86" s="23"/>
      <c r="N86" s="26"/>
      <c r="O86" s="26"/>
      <c r="P86" s="26"/>
      <c r="Q86" s="26"/>
      <c r="R86" s="26"/>
      <c r="S86" s="26"/>
      <c r="T86" s="26"/>
      <c r="U86" s="26"/>
      <c r="V86" s="26"/>
      <c r="W86" s="26"/>
      <c r="X86" s="26"/>
      <c r="Y86" s="26"/>
      <c r="Z86" s="26"/>
      <c r="AA86" s="26"/>
      <c r="AB86" s="26"/>
    </row>
    <row r="87">
      <c r="A87" s="21" t="s">
        <v>242</v>
      </c>
      <c r="B87" s="22" t="s">
        <v>242</v>
      </c>
      <c r="C87" s="23" t="s">
        <v>243</v>
      </c>
      <c r="D87" s="23" t="str">
        <f>IFERROR(__xludf.DUMMYFUNCTION("GOOGLETRANSLATE(B87, ""en"", ""es"")"),"Contraseña actual incorrecta")</f>
        <v>Contraseña actual incorrecta</v>
      </c>
      <c r="E87" s="23" t="str">
        <f>IFERROR(__xludf.DUMMYFUNCTION("GOOGLETRANSLATE(B87, ""en"", ""ru"")"),"Неправильный текущий пароль")</f>
        <v>Неправильный текущий пароль</v>
      </c>
      <c r="F87" s="23" t="str">
        <f>IFERROR(__xludf.DUMMYFUNCTION("GOOGLETRANSLATE(B87, ""en"", ""tr"")"),"Yanlış geçerli şifre")</f>
        <v>Yanlış geçerli şifre</v>
      </c>
      <c r="G87" s="23" t="str">
        <f>IFERROR(__xludf.DUMMYFUNCTION("GOOGLETRANSLATE(B87, ""en"", ""pt"")"),"Senha atual incorreta")</f>
        <v>Senha atual incorreta</v>
      </c>
      <c r="H87" s="24" t="str">
        <f>IFERROR(__xludf.DUMMYFUNCTION("GOOGLETRANSLATE(B87, ""en"", ""de"")"),"Falsches aktuelles Passwort")</f>
        <v>Falsches aktuelles Passwort</v>
      </c>
      <c r="I87" s="23" t="str">
        <f>IFERROR(__xludf.DUMMYFUNCTION("GOOGLETRANSLATE(B87, ""en"", ""pl"")"),"Nieprawidłowe bieżące hasło")</f>
        <v>Nieprawidłowe bieżące hasło</v>
      </c>
      <c r="J87" s="25" t="str">
        <f>IFERROR(__xludf.DUMMYFUNCTION("GOOGLETRANSLATE(B87, ""en"", ""zh"")"),"当前密码不正确")</f>
        <v>当前密码不正确</v>
      </c>
      <c r="K87" s="25" t="str">
        <f>IFERROR(__xludf.DUMMYFUNCTION("GOOGLETRANSLATE(B87, ""en"", ""vi"")"),"Mật khẩu hiện tại không chính xác")</f>
        <v>Mật khẩu hiện tại không chính xác</v>
      </c>
      <c r="L87" s="23" t="str">
        <f>IFERROR(__xludf.DUMMYFUNCTION("GOOGLETRANSLATE(B87, ""en"", ""hr"")"),"Netočna trenutna lozinka")</f>
        <v>Netočna trenutna lozinka</v>
      </c>
      <c r="M87" s="23"/>
      <c r="N87" s="26"/>
      <c r="O87" s="26"/>
      <c r="P87" s="26"/>
      <c r="Q87" s="26"/>
      <c r="R87" s="26"/>
      <c r="S87" s="26"/>
      <c r="T87" s="26"/>
      <c r="U87" s="26"/>
      <c r="V87" s="26"/>
      <c r="W87" s="26"/>
      <c r="X87" s="26"/>
      <c r="Y87" s="26"/>
      <c r="Z87" s="26"/>
      <c r="AA87" s="26"/>
      <c r="AB87" s="26"/>
    </row>
    <row r="88">
      <c r="A88" s="21" t="s">
        <v>244</v>
      </c>
      <c r="B88" s="22" t="s">
        <v>244</v>
      </c>
      <c r="C88" s="23" t="str">
        <f>IFERROR(__xludf.DUMMYFUNCTION("GOOGLETRANSLATE(B88, ""en"", ""fr"")"),"Mot de passe changé")</f>
        <v>Mot de passe changé</v>
      </c>
      <c r="D88" s="23" t="str">
        <f>IFERROR(__xludf.DUMMYFUNCTION("GOOGLETRANSLATE(B88, ""en"", ""es"")"),"contraseña cambiada")</f>
        <v>contraseña cambiada</v>
      </c>
      <c r="E88" s="23" t="str">
        <f>IFERROR(__xludf.DUMMYFUNCTION("GOOGLETRANSLATE(B88, ""en"", ""ru"")"),"пароль изменен")</f>
        <v>пароль изменен</v>
      </c>
      <c r="F88" s="23" t="str">
        <f>IFERROR(__xludf.DUMMYFUNCTION("GOOGLETRANSLATE(B88, ""en"", ""tr"")"),"şifre değişti")</f>
        <v>şifre değişti</v>
      </c>
      <c r="G88" s="23" t="str">
        <f>IFERROR(__xludf.DUMMYFUNCTION("GOOGLETRANSLATE(B88, ""en"", ""pt"")"),"Senha alterada")</f>
        <v>Senha alterada</v>
      </c>
      <c r="H88" s="24" t="str">
        <f>IFERROR(__xludf.DUMMYFUNCTION("GOOGLETRANSLATE(B88, ""en"", ""de"")"),"Passwort geändert")</f>
        <v>Passwort geändert</v>
      </c>
      <c r="I88" s="23" t="str">
        <f>IFERROR(__xludf.DUMMYFUNCTION("GOOGLETRANSLATE(B88, ""en"", ""pl"")"),"Hasło zostało zmienione")</f>
        <v>Hasło zostało zmienione</v>
      </c>
      <c r="J88" s="25" t="str">
        <f>IFERROR(__xludf.DUMMYFUNCTION("GOOGLETRANSLATE(B88, ""en"", ""zh"")"),"密码已更改")</f>
        <v>密码已更改</v>
      </c>
      <c r="K88" s="25" t="str">
        <f>IFERROR(__xludf.DUMMYFUNCTION("GOOGLETRANSLATE(B88, ""en"", ""vi"")"),"mật khẩu đã được thay đổi")</f>
        <v>mật khẩu đã được thay đổi</v>
      </c>
      <c r="L88" s="23" t="str">
        <f>IFERROR(__xludf.DUMMYFUNCTION("GOOGLETRANSLATE(B88, ""en"", ""hr"")"),"Lozinka promijenjena")</f>
        <v>Lozinka promijenjena</v>
      </c>
      <c r="M88" s="23"/>
      <c r="N88" s="26"/>
      <c r="O88" s="26"/>
      <c r="P88" s="26"/>
      <c r="Q88" s="26"/>
      <c r="R88" s="26"/>
      <c r="S88" s="26"/>
      <c r="T88" s="26"/>
      <c r="U88" s="26"/>
      <c r="V88" s="26"/>
      <c r="W88" s="26"/>
      <c r="X88" s="26"/>
      <c r="Y88" s="26"/>
      <c r="Z88" s="26"/>
      <c r="AA88" s="26"/>
      <c r="AB88" s="26"/>
    </row>
    <row r="89">
      <c r="A89" s="21" t="s">
        <v>245</v>
      </c>
      <c r="B89" s="22" t="s">
        <v>245</v>
      </c>
      <c r="C89" s="23" t="str">
        <f>IFERROR(__xludf.DUMMYFUNCTION("GOOGLETRANSLATE(B89, ""en"", ""fr"")"),"Nom du personnage actuel")</f>
        <v>Nom du personnage actuel</v>
      </c>
      <c r="D89" s="23" t="str">
        <f>IFERROR(__xludf.DUMMYFUNCTION("GOOGLETRANSLATE(B89, ""en"", ""es"")"),"Nombre del personaje actual")</f>
        <v>Nombre del personaje actual</v>
      </c>
      <c r="E89" s="23" t="str">
        <f>IFERROR(__xludf.DUMMYFUNCTION("GOOGLETRANSLATE(B89, ""en"", ""ru"")"),"Текущее имя символа")</f>
        <v>Текущее имя символа</v>
      </c>
      <c r="F89" s="23" t="str">
        <f>IFERROR(__xludf.DUMMYFUNCTION("GOOGLETRANSLATE(B89, ""en"", ""tr"")"),"Mevcut karakter adı")</f>
        <v>Mevcut karakter adı</v>
      </c>
      <c r="G89" s="23" t="str">
        <f>IFERROR(__xludf.DUMMYFUNCTION("GOOGLETRANSLATE(B89, ""en"", ""pt"")"),"Nome do personagem atual")</f>
        <v>Nome do personagem atual</v>
      </c>
      <c r="H89" s="24" t="str">
        <f>IFERROR(__xludf.DUMMYFUNCTION("GOOGLETRANSLATE(B89, ""en"", ""de"")"),"Aktueller Charaktername")</f>
        <v>Aktueller Charaktername</v>
      </c>
      <c r="I89" s="23" t="str">
        <f>IFERROR(__xludf.DUMMYFUNCTION("GOOGLETRANSLATE(B89, ""en"", ""pl"")"),"Aktualna nazwa postaci")</f>
        <v>Aktualna nazwa postaci</v>
      </c>
      <c r="J89" s="25" t="str">
        <f>IFERROR(__xludf.DUMMYFUNCTION("GOOGLETRANSLATE(B89, ""en"", ""zh"")"),"当前字符名称")</f>
        <v>当前字符名称</v>
      </c>
      <c r="K89" s="25" t="str">
        <f>IFERROR(__xludf.DUMMYFUNCTION("GOOGLETRANSLATE(B89, ""en"", ""vi"")"),"Tên nhân vật hiện tại")</f>
        <v>Tên nhân vật hiện tại</v>
      </c>
      <c r="L89" s="23" t="str">
        <f>IFERROR(__xludf.DUMMYFUNCTION("GOOGLETRANSLATE(B89, ""en"", ""hr"")"),"Naziv trenutnog znaka")</f>
        <v>Naziv trenutnog znaka</v>
      </c>
      <c r="M89" s="23"/>
      <c r="N89" s="26"/>
      <c r="O89" s="26"/>
      <c r="P89" s="26"/>
      <c r="Q89" s="26"/>
      <c r="R89" s="26"/>
      <c r="S89" s="26"/>
      <c r="T89" s="26"/>
      <c r="U89" s="26"/>
      <c r="V89" s="26"/>
      <c r="W89" s="26"/>
      <c r="X89" s="26"/>
      <c r="Y89" s="26"/>
      <c r="Z89" s="26"/>
      <c r="AA89" s="26"/>
      <c r="AB89" s="26"/>
    </row>
    <row r="90">
      <c r="A90" s="21" t="s">
        <v>246</v>
      </c>
      <c r="B90" s="22" t="s">
        <v>246</v>
      </c>
      <c r="C90" s="23" t="str">
        <f>IFERROR(__xludf.DUMMYFUNCTION("GOOGLETRANSLATE(B90, ""en"", ""fr"")"),"Nouveau nom de personnage")</f>
        <v>Nouveau nom de personnage</v>
      </c>
      <c r="D90" s="23" t="str">
        <f>IFERROR(__xludf.DUMMYFUNCTION("GOOGLETRANSLATE(B90, ""en"", ""es"")"),"Nombre del nuevo personaje")</f>
        <v>Nombre del nuevo personaje</v>
      </c>
      <c r="E90" s="23" t="str">
        <f>IFERROR(__xludf.DUMMYFUNCTION("GOOGLETRANSLATE(B90, ""en"", ""ru"")"),"Новое имя персонажа")</f>
        <v>Новое имя персонажа</v>
      </c>
      <c r="F90" s="23" t="str">
        <f>IFERROR(__xludf.DUMMYFUNCTION("GOOGLETRANSLATE(B90, ""en"", ""tr"")"),"Yeni karakter adı")</f>
        <v>Yeni karakter adı</v>
      </c>
      <c r="G90" s="23" t="str">
        <f>IFERROR(__xludf.DUMMYFUNCTION("GOOGLETRANSLATE(B90, ""en"", ""pt"")"),"Nome do novo personagem")</f>
        <v>Nome do novo personagem</v>
      </c>
      <c r="H90" s="24" t="str">
        <f>IFERROR(__xludf.DUMMYFUNCTION("GOOGLETRANSLATE(B90, ""en"", ""de"")"),"Neuer Charaktername")</f>
        <v>Neuer Charaktername</v>
      </c>
      <c r="I90" s="23" t="str">
        <f>IFERROR(__xludf.DUMMYFUNCTION("GOOGLETRANSLATE(B90, ""en"", ""pl"")"),"Nowa nazwa postaci")</f>
        <v>Nowa nazwa postaci</v>
      </c>
      <c r="J90" s="25" t="str">
        <f>IFERROR(__xludf.DUMMYFUNCTION("GOOGLETRANSLATE(B90, ""en"", ""zh"")"),"新角色名称")</f>
        <v>新角色名称</v>
      </c>
      <c r="K90" s="25" t="str">
        <f>IFERROR(__xludf.DUMMYFUNCTION("GOOGLETRANSLATE(B90, ""en"", ""vi"")"),"Tên nhân vật mới")</f>
        <v>Tên nhân vật mới</v>
      </c>
      <c r="L90" s="23" t="str">
        <f>IFERROR(__xludf.DUMMYFUNCTION("GOOGLETRANSLATE(B90, ""en"", ""hr"")"),"Naziv novog znaka")</f>
        <v>Naziv novog znaka</v>
      </c>
      <c r="M90" s="23"/>
      <c r="N90" s="26"/>
      <c r="O90" s="26"/>
      <c r="P90" s="26"/>
      <c r="Q90" s="26"/>
      <c r="R90" s="26"/>
      <c r="S90" s="26"/>
      <c r="T90" s="26"/>
      <c r="U90" s="26"/>
      <c r="V90" s="26"/>
      <c r="W90" s="26"/>
      <c r="X90" s="26"/>
      <c r="Y90" s="26"/>
      <c r="Z90" s="26"/>
      <c r="AA90" s="26"/>
      <c r="AB90" s="26"/>
    </row>
    <row r="91">
      <c r="A91" s="21" t="s">
        <v>247</v>
      </c>
      <c r="B91" s="22" t="s">
        <v>248</v>
      </c>
      <c r="C91" s="23" t="str">
        <f>IFERROR(__xludf.DUMMYFUNCTION("GOOGLETRANSLATE(B91, ""en"", ""fr"")"),"Nouveau nom requis.")</f>
        <v>Nouveau nom requis.</v>
      </c>
      <c r="D91" s="23" t="str">
        <f>IFERROR(__xludf.DUMMYFUNCTION("GOOGLETRANSLATE(B91, ""en"", ""es"")"),"Se requiere nuevo nombre.")</f>
        <v>Se requiere nuevo nombre.</v>
      </c>
      <c r="E91" s="23" t="str">
        <f>IFERROR(__xludf.DUMMYFUNCTION("GOOGLETRANSLATE(B91, ""en"", ""ru"")"),"Требуется новое имя.")</f>
        <v>Требуется новое имя.</v>
      </c>
      <c r="F91" s="23" t="str">
        <f>IFERROR(__xludf.DUMMYFUNCTION("GOOGLETRANSLATE(B91, ""en"", ""tr"")"),"Yeni isim gerekli.")</f>
        <v>Yeni isim gerekli.</v>
      </c>
      <c r="G91" s="23" t="str">
        <f>IFERROR(__xludf.DUMMYFUNCTION("GOOGLETRANSLATE(B91, ""en"", ""pt"")"),"Novo nome necessário.")</f>
        <v>Novo nome necessário.</v>
      </c>
      <c r="H91" s="24" t="str">
        <f>IFERROR(__xludf.DUMMYFUNCTION("GOOGLETRANSLATE(B91, ""en"", ""de"")"),"Neuer Name erforderlich.")</f>
        <v>Neuer Name erforderlich.</v>
      </c>
      <c r="I91" s="23" t="str">
        <f>IFERROR(__xludf.DUMMYFUNCTION("GOOGLETRANSLATE(B91, ""en"", ""pl"")"),"Wymagana nowa nazwa.")</f>
        <v>Wymagana nowa nazwa.</v>
      </c>
      <c r="J91" s="25" t="str">
        <f>IFERROR(__xludf.DUMMYFUNCTION("GOOGLETRANSLATE(B91, ""en"", ""zh"")"),"需要新名称。")</f>
        <v>需要新名称。</v>
      </c>
      <c r="K91" s="25" t="str">
        <f>IFERROR(__xludf.DUMMYFUNCTION("GOOGLETRANSLATE(B91, ""en"", ""vi"")"),"Tên mới cần thiết.")</f>
        <v>Tên mới cần thiết.</v>
      </c>
      <c r="L91" s="23" t="str">
        <f>IFERROR(__xludf.DUMMYFUNCTION("GOOGLETRANSLATE(B91, ""en"", ""hr"")"),"Potrebno novo ime.")</f>
        <v>Potrebno novo ime.</v>
      </c>
      <c r="M91" s="23"/>
      <c r="N91" s="26"/>
      <c r="O91" s="26"/>
      <c r="P91" s="26"/>
      <c r="Q91" s="26"/>
      <c r="R91" s="26"/>
      <c r="S91" s="26"/>
      <c r="T91" s="26"/>
      <c r="U91" s="26"/>
      <c r="V91" s="26"/>
      <c r="W91" s="26"/>
      <c r="X91" s="26"/>
      <c r="Y91" s="26"/>
      <c r="Z91" s="26"/>
      <c r="AA91" s="26"/>
      <c r="AB91" s="26"/>
    </row>
    <row r="92">
      <c r="A92" s="21" t="s">
        <v>249</v>
      </c>
      <c r="B92" s="22" t="s">
        <v>250</v>
      </c>
      <c r="C92" s="23" t="s">
        <v>251</v>
      </c>
      <c r="D92" s="23" t="str">
        <f>IFERROR(__xludf.DUMMYFUNCTION("GOOGLETRANSLATE(B92, ""en"", ""es"")"),"El nuevo nombre debe ser diferente al nombre actual.")</f>
        <v>El nuevo nombre debe ser diferente al nombre actual.</v>
      </c>
      <c r="E92" s="23" t="str">
        <f>IFERROR(__xludf.DUMMYFUNCTION("GOOGLETRANSLATE(B92, ""en"", ""ru"")"),"Новое имя должно отличаться от текущего имени.")</f>
        <v>Новое имя должно отличаться от текущего имени.</v>
      </c>
      <c r="F92" s="23" t="str">
        <f>IFERROR(__xludf.DUMMYFUNCTION("GOOGLETRANSLATE(B92, ""en"", ""tr"")"),"Yeni ad mevcut addan farklı olmalıdır.")</f>
        <v>Yeni ad mevcut addan farklı olmalıdır.</v>
      </c>
      <c r="G92" s="23" t="str">
        <f>IFERROR(__xludf.DUMMYFUNCTION("GOOGLETRANSLATE(B92, ""en"", ""pt"")"),"O novo nome deve ser diferente do nome atual.")</f>
        <v>O novo nome deve ser diferente do nome atual.</v>
      </c>
      <c r="H92" s="24" t="str">
        <f>IFERROR(__xludf.DUMMYFUNCTION("GOOGLETRANSLATE(B92, ""en"", ""de"")"),"Der neue Name muss anders sein als der aktuelle Name.")</f>
        <v>Der neue Name muss anders sein als der aktuelle Name.</v>
      </c>
      <c r="I92" s="23" t="str">
        <f>IFERROR(__xludf.DUMMYFUNCTION("GOOGLETRANSLATE(B92, ""en"", ""pl"")"),"Nowa nazwa musi być inna od bieżącej nazwy.")</f>
        <v>Nowa nazwa musi być inna od bieżącej nazwy.</v>
      </c>
      <c r="J92" s="25" t="str">
        <f>IFERROR(__xludf.DUMMYFUNCTION("GOOGLETRANSLATE(B92, ""en"", ""zh"")"),"新名称必须与当前名称不同。")</f>
        <v>新名称必须与当前名称不同。</v>
      </c>
      <c r="K92" s="25" t="str">
        <f>IFERROR(__xludf.DUMMYFUNCTION("GOOGLETRANSLATE(B92, ""en"", ""vi"")"),"Tên mới phải khác với tên hiện tại.")</f>
        <v>Tên mới phải khác với tên hiện tại.</v>
      </c>
      <c r="L92" s="23" t="str">
        <f>IFERROR(__xludf.DUMMYFUNCTION("GOOGLETRANSLATE(B92, ""en"", ""hr"")"),"Novo ime mora biti drugačije od trenutnog imena.")</f>
        <v>Novo ime mora biti drugačije od trenutnog imena.</v>
      </c>
      <c r="M92" s="23"/>
      <c r="N92" s="26"/>
      <c r="O92" s="26"/>
      <c r="P92" s="26"/>
      <c r="Q92" s="26"/>
      <c r="R92" s="26"/>
      <c r="S92" s="26"/>
      <c r="T92" s="26"/>
      <c r="U92" s="26"/>
      <c r="V92" s="26"/>
      <c r="W92" s="26"/>
      <c r="X92" s="26"/>
      <c r="Y92" s="26"/>
      <c r="Z92" s="26"/>
      <c r="AA92" s="26"/>
      <c r="AB92" s="26"/>
    </row>
    <row r="93">
      <c r="A93" s="21" t="s">
        <v>252</v>
      </c>
      <c r="B93" s="22" t="s">
        <v>253</v>
      </c>
      <c r="C93" s="23" t="s">
        <v>254</v>
      </c>
      <c r="D93" s="23" t="str">
        <f>IFERROR(__xludf.DUMMYFUNCTION("GOOGLETRANSLATE(B93, ""en"", ""es"")"),"Nombre del personaje cambiado.")</f>
        <v>Nombre del personaje cambiado.</v>
      </c>
      <c r="E93" s="23" t="str">
        <f>IFERROR(__xludf.DUMMYFUNCTION("GOOGLETRANSLATE(B93, ""en"", ""ru"")"),"Имя персонажа изменилось.")</f>
        <v>Имя персонажа изменилось.</v>
      </c>
      <c r="F93" s="23" t="str">
        <f>IFERROR(__xludf.DUMMYFUNCTION("GOOGLETRANSLATE(B93, ""en"", ""tr"")"),"Karakter adı değişti.")</f>
        <v>Karakter adı değişti.</v>
      </c>
      <c r="G93" s="23" t="str">
        <f>IFERROR(__xludf.DUMMYFUNCTION("GOOGLETRANSLATE(B93, ""en"", ""pt"")"),"O nome do personagem foi alterado.")</f>
        <v>O nome do personagem foi alterado.</v>
      </c>
      <c r="H93" s="24" t="str">
        <f>IFERROR(__xludf.DUMMYFUNCTION("GOOGLETRANSLATE(B93, ""en"", ""de"")"),"Charaktername geändert.")</f>
        <v>Charaktername geändert.</v>
      </c>
      <c r="I93" s="23" t="str">
        <f>IFERROR(__xludf.DUMMYFUNCTION("GOOGLETRANSLATE(B93, ""en"", ""pl"")"),"Zmieniona nazwa postaci.")</f>
        <v>Zmieniona nazwa postaci.</v>
      </c>
      <c r="J93" s="25" t="str">
        <f>IFERROR(__xludf.DUMMYFUNCTION("GOOGLETRANSLATE(B93, ""en"", ""zh"")"),"角色名称更改。")</f>
        <v>角色名称更改。</v>
      </c>
      <c r="K93" s="25" t="str">
        <f>IFERROR(__xludf.DUMMYFUNCTION("GOOGLETRANSLATE(B93, ""en"", ""vi"")"),"Tên nhân vật đã thay đổi.")</f>
        <v>Tên nhân vật đã thay đổi.</v>
      </c>
      <c r="L93" s="23" t="str">
        <f>IFERROR(__xludf.DUMMYFUNCTION("GOOGLETRANSLATE(B93, ""en"", ""hr"")"),"Naziv znaka promijenjen.")</f>
        <v>Naziv znaka promijenjen.</v>
      </c>
      <c r="M93" s="23"/>
      <c r="N93" s="26"/>
      <c r="O93" s="26"/>
      <c r="P93" s="26"/>
      <c r="Q93" s="26"/>
      <c r="R93" s="26"/>
      <c r="S93" s="26"/>
      <c r="T93" s="26"/>
      <c r="U93" s="26"/>
      <c r="V93" s="26"/>
      <c r="W93" s="26"/>
      <c r="X93" s="26"/>
      <c r="Y93" s="26"/>
      <c r="Z93" s="26"/>
      <c r="AA93" s="26"/>
      <c r="AB93" s="26"/>
    </row>
    <row r="94">
      <c r="A94" s="21" t="s">
        <v>255</v>
      </c>
      <c r="B94" s="22" t="s">
        <v>256</v>
      </c>
      <c r="C94" s="23" t="str">
        <f>IFERROR(__xludf.DUMMYFUNCTION("GOOGLETRANSLATE(B94, ""en"", ""fr"")"),"Acheter des articles")</f>
        <v>Acheter des articles</v>
      </c>
      <c r="D94" s="23" t="str">
        <f>IFERROR(__xludf.DUMMYFUNCTION("GOOGLETRANSLATE(B94, ""en"", ""es"")"),"Compra de artículos")</f>
        <v>Compra de artículos</v>
      </c>
      <c r="E94" s="23" t="str">
        <f>IFERROR(__xludf.DUMMYFUNCTION("GOOGLETRANSLATE(B94, ""en"", ""ru"")"),"Покупка товаров")</f>
        <v>Покупка товаров</v>
      </c>
      <c r="F94" s="23" t="str">
        <f>IFERROR(__xludf.DUMMYFUNCTION("GOOGLETRANSLATE(B94, ""en"", ""tr"")"),"Satın Alma Öğeleri")</f>
        <v>Satın Alma Öğeleri</v>
      </c>
      <c r="G94" s="23" t="str">
        <f>IFERROR(__xludf.DUMMYFUNCTION("GOOGLETRANSLATE(B94, ""en"", ""pt"")"),"Compra de itens")</f>
        <v>Compra de itens</v>
      </c>
      <c r="H94" s="24" t="str">
        <f>IFERROR(__xludf.DUMMYFUNCTION("GOOGLETRANSLATE(B94, ""en"", ""de"")"),"Artikel kaufen")</f>
        <v>Artikel kaufen</v>
      </c>
      <c r="I94" s="23" t="str">
        <f>IFERROR(__xludf.DUMMYFUNCTION("GOOGLETRANSLATE(B94, ""en"", ""pl"")"),"Kupowanie przedmiotów")</f>
        <v>Kupowanie przedmiotów</v>
      </c>
      <c r="J94" s="25" t="str">
        <f>IFERROR(__xludf.DUMMYFUNCTION("GOOGLETRANSLATE(B94, ""en"", ""zh"")"),"购买物品")</f>
        <v>购买物品</v>
      </c>
      <c r="K94" s="25" t="str">
        <f>IFERROR(__xludf.DUMMYFUNCTION("GOOGLETRANSLATE(B94, ""en"", ""vi"")"),"Mua các mặt hàng")</f>
        <v>Mua các mặt hàng</v>
      </c>
      <c r="L94" s="23" t="str">
        <f>IFERROR(__xludf.DUMMYFUNCTION("GOOGLETRANSLATE(B94, ""en"", ""hr"")"),"Kupnja predmeta")</f>
        <v>Kupnja predmeta</v>
      </c>
      <c r="M94" s="23"/>
      <c r="N94" s="26"/>
      <c r="O94" s="26"/>
      <c r="P94" s="26"/>
      <c r="Q94" s="26"/>
      <c r="R94" s="26"/>
      <c r="S94" s="26"/>
      <c r="T94" s="26"/>
      <c r="U94" s="26"/>
      <c r="V94" s="26"/>
      <c r="W94" s="26"/>
      <c r="X94" s="26"/>
      <c r="Y94" s="26"/>
      <c r="Z94" s="26"/>
      <c r="AA94" s="26"/>
      <c r="AB94" s="26"/>
    </row>
    <row r="95">
      <c r="A95" s="21" t="s">
        <v>257</v>
      </c>
      <c r="B95" s="22" t="s">
        <v>258</v>
      </c>
      <c r="C95" s="23" t="s">
        <v>259</v>
      </c>
      <c r="D95" s="23" t="str">
        <f>IFERROR(__xludf.DUMMYFUNCTION("GOOGLETRANSLATE(B95, ""en"", ""es"")"),"Reunión")</f>
        <v>Reunión</v>
      </c>
      <c r="E95" s="23" t="str">
        <f>IFERROR(__xludf.DUMMYFUNCTION("GOOGLETRANSLATE(B95, ""en"", ""ru"")"),"Встреча")</f>
        <v>Встреча</v>
      </c>
      <c r="F95" s="23" t="str">
        <f>IFERROR(__xludf.DUMMYFUNCTION("GOOGLETRANSLATE(B95, ""en"", ""tr"")"),"Toplama")</f>
        <v>Toplama</v>
      </c>
      <c r="G95" s="23" t="str">
        <f>IFERROR(__xludf.DUMMYFUNCTION("GOOGLETRANSLATE(B95, ""en"", ""pt"")"),"Reunião")</f>
        <v>Reunião</v>
      </c>
      <c r="H95" s="24" t="str">
        <f>IFERROR(__xludf.DUMMYFUNCTION("GOOGLETRANSLATE(B95, ""en"", ""de"")"),"Sammeln")</f>
        <v>Sammeln</v>
      </c>
      <c r="I95" s="23" t="str">
        <f>IFERROR(__xludf.DUMMYFUNCTION("GOOGLETRANSLATE(B95, ""en"", ""pl"")"),"Zgromadzenie")</f>
        <v>Zgromadzenie</v>
      </c>
      <c r="J95" s="25" t="str">
        <f>IFERROR(__xludf.DUMMYFUNCTION("GOOGLETRANSLATE(B95, ""en"", ""zh"")"),"搜集")</f>
        <v>搜集</v>
      </c>
      <c r="K95" s="25" t="str">
        <f>IFERROR(__xludf.DUMMYFUNCTION("GOOGLETRANSLATE(B95, ""en"", ""vi"")"),"Thu thập")</f>
        <v>Thu thập</v>
      </c>
      <c r="L95" s="23" t="str">
        <f>IFERROR(__xludf.DUMMYFUNCTION("GOOGLETRANSLATE(B95, ""en"", ""hr"")"),"Prikupljanje")</f>
        <v>Prikupljanje</v>
      </c>
      <c r="M95" s="23"/>
      <c r="N95" s="26"/>
      <c r="O95" s="26"/>
      <c r="P95" s="26"/>
      <c r="Q95" s="26"/>
      <c r="R95" s="26"/>
      <c r="S95" s="26"/>
      <c r="T95" s="26"/>
      <c r="U95" s="26"/>
      <c r="V95" s="26"/>
      <c r="W95" s="26"/>
      <c r="X95" s="26"/>
      <c r="Y95" s="26"/>
      <c r="Z95" s="26"/>
      <c r="AA95" s="26"/>
      <c r="AB95" s="26"/>
    </row>
    <row r="96">
      <c r="A96" s="21" t="s">
        <v>260</v>
      </c>
      <c r="B96" s="22" t="s">
        <v>261</v>
      </c>
      <c r="C96" s="23" t="str">
        <f>IFERROR(__xludf.DUMMYFUNCTION("GOOGLETRANSLATE(B96, ""en"", ""fr"")"),"Artisanat")</f>
        <v>Artisanat</v>
      </c>
      <c r="D96" s="23" t="str">
        <f>IFERROR(__xludf.DUMMYFUNCTION("GOOGLETRANSLATE(B96, ""en"", ""es"")"),"Crafting Ropa")</f>
        <v>Crafting Ropa</v>
      </c>
      <c r="E96" s="23" t="str">
        <f>IFERROR(__xludf.DUMMYFUNCTION("GOOGLETRANSLATE(B96, ""en"", ""ru"")"),"Создание одежды")</f>
        <v>Создание одежды</v>
      </c>
      <c r="F96" s="23" t="str">
        <f>IFERROR(__xludf.DUMMYFUNCTION("GOOGLETRANSLATE(B96, ""en"", ""tr"")"),"Giysileri Üretme")</f>
        <v>Giysileri Üretme</v>
      </c>
      <c r="G96" s="23" t="str">
        <f>IFERROR(__xludf.DUMMYFUNCTION("GOOGLETRANSLATE(B96, ""en"", ""pt"")"),"Criação de roupas")</f>
        <v>Criação de roupas</v>
      </c>
      <c r="H96" s="24" t="str">
        <f>IFERROR(__xludf.DUMMYFUNCTION("GOOGLETRANSLATE(B96, ""en"", ""de"")"),"Kleidung basteln")</f>
        <v>Kleidung basteln</v>
      </c>
      <c r="I96" s="23" t="str">
        <f>IFERROR(__xludf.DUMMYFUNCTION("GOOGLETRANSLATE(B96, ""en"", ""pl"")"),"Tworzenie ubrania")</f>
        <v>Tworzenie ubrania</v>
      </c>
      <c r="J96" s="25" t="str">
        <f>IFERROR(__xludf.DUMMYFUNCTION("GOOGLETRANSLATE(B96, ""en"", ""zh"")"),"制作衣服")</f>
        <v>制作衣服</v>
      </c>
      <c r="K96" s="25" t="str">
        <f>IFERROR(__xludf.DUMMYFUNCTION("GOOGLETRANSLATE(B96, ""en"", ""vi"")"),"Chế tạo quần áo")</f>
        <v>Chế tạo quần áo</v>
      </c>
      <c r="L96" s="23" t="str">
        <f>IFERROR(__xludf.DUMMYFUNCTION("GOOGLETRANSLATE(B96, ""en"", ""hr"")"),"Zanatska odjeća")</f>
        <v>Zanatska odjeća</v>
      </c>
      <c r="M96" s="23"/>
      <c r="N96" s="26"/>
      <c r="O96" s="26"/>
      <c r="P96" s="26"/>
      <c r="Q96" s="26"/>
      <c r="R96" s="26"/>
      <c r="S96" s="26"/>
      <c r="T96" s="26"/>
      <c r="U96" s="26"/>
      <c r="V96" s="26"/>
      <c r="W96" s="26"/>
      <c r="X96" s="26"/>
      <c r="Y96" s="26"/>
      <c r="Z96" s="26"/>
      <c r="AA96" s="26"/>
      <c r="AB96" s="26"/>
    </row>
    <row r="97">
      <c r="A97" s="21" t="s">
        <v>262</v>
      </c>
      <c r="B97" s="22" t="s">
        <v>263</v>
      </c>
      <c r="C97" s="23" t="s">
        <v>264</v>
      </c>
      <c r="D97" s="23" t="str">
        <f>IFERROR(__xludf.DUMMYFUNCTION("GOOGLETRANSLATE(B97, ""en"", ""es"")"),"Crafting Metal Bars")</f>
        <v>Crafting Metal Bars</v>
      </c>
      <c r="E97" s="23" t="str">
        <f>IFERROR(__xludf.DUMMYFUNCTION("GOOGLETRANSLATE(B97, ""en"", ""ru"")"),"Создание металлических стержней")</f>
        <v>Создание металлических стержней</v>
      </c>
      <c r="F97" s="23" t="str">
        <f>IFERROR(__xludf.DUMMYFUNCTION("GOOGLETRANSLATE(B97, ""en"", ""tr"")"),"Metal çubukların hazırlanması")</f>
        <v>Metal çubukların hazırlanması</v>
      </c>
      <c r="G97" s="23" t="str">
        <f>IFERROR(__xludf.DUMMYFUNCTION("GOOGLETRANSLATE(B97, ""en"", ""pt"")"),"Criação de barras de metal")</f>
        <v>Criação de barras de metal</v>
      </c>
      <c r="H97" s="24" t="str">
        <f>IFERROR(__xludf.DUMMYFUNCTION("GOOGLETRANSLATE(B97, ""en"", ""de"")"),"Metallstangen basteln")</f>
        <v>Metallstangen basteln</v>
      </c>
      <c r="I97" s="23" t="str">
        <f>IFERROR(__xludf.DUMMYFUNCTION("GOOGLETRANSLATE(B97, ""en"", ""pl"")"),"Rzemieślnicze metalowe pręty")</f>
        <v>Rzemieślnicze metalowe pręty</v>
      </c>
      <c r="J97" s="25" t="str">
        <f>IFERROR(__xludf.DUMMYFUNCTION("GOOGLETRANSLATE(B97, ""en"", ""zh"")"),"制作金属条")</f>
        <v>制作金属条</v>
      </c>
      <c r="K97" s="25" t="str">
        <f>IFERROR(__xludf.DUMMYFUNCTION("GOOGLETRANSLATE(B97, ""en"", ""vi"")"),"Thanh kim loại chế tạo")</f>
        <v>Thanh kim loại chế tạo</v>
      </c>
      <c r="L97" s="23" t="str">
        <f>IFERROR(__xludf.DUMMYFUNCTION("GOOGLETRANSLATE(B97, ""en"", ""hr"")"),"Zanatske metalne šipke")</f>
        <v>Zanatske metalne šipke</v>
      </c>
      <c r="M97" s="23"/>
      <c r="N97" s="26"/>
      <c r="O97" s="26"/>
      <c r="P97" s="26"/>
      <c r="Q97" s="26"/>
      <c r="R97" s="26"/>
      <c r="S97" s="26"/>
      <c r="T97" s="26"/>
      <c r="U97" s="26"/>
      <c r="V97" s="26"/>
      <c r="W97" s="26"/>
      <c r="X97" s="26"/>
      <c r="Y97" s="26"/>
      <c r="Z97" s="26"/>
      <c r="AA97" s="26"/>
      <c r="AB97" s="26"/>
    </row>
    <row r="98">
      <c r="A98" s="21" t="s">
        <v>265</v>
      </c>
      <c r="B98" s="22" t="s">
        <v>266</v>
      </c>
      <c r="C98" s="23" t="s">
        <v>267</v>
      </c>
      <c r="D98" s="23" t="str">
        <f>IFERROR(__xludf.DUMMYFUNCTION("GOOGLETRANSLATE(B98, ""en"", ""es"")"),"Crafting Weepons")</f>
        <v>Crafting Weepons</v>
      </c>
      <c r="E98" s="23" t="str">
        <f>IFERROR(__xludf.DUMMYFUNCTION("GOOGLETRANSLATE(B98, ""en"", ""ru"")"),"Создание оружия")</f>
        <v>Создание оружия</v>
      </c>
      <c r="F98" s="23" t="str">
        <f>IFERROR(__xludf.DUMMYFUNCTION("GOOGLETRANSLATE(B98, ""en"", ""tr"")"),"Silah işçiliği")</f>
        <v>Silah işçiliği</v>
      </c>
      <c r="G98" s="23" t="str">
        <f>IFERROR(__xludf.DUMMYFUNCTION("GOOGLETRANSLATE(B98, ""en"", ""pt"")"),"Criação de armas")</f>
        <v>Criação de armas</v>
      </c>
      <c r="H98" s="24" t="str">
        <f>IFERROR(__xludf.DUMMYFUNCTION("GOOGLETRANSLATE(B98, ""en"", ""de"")"),"Waffen basteln")</f>
        <v>Waffen basteln</v>
      </c>
      <c r="I98" s="23" t="str">
        <f>IFERROR(__xludf.DUMMYFUNCTION("GOOGLETRANSLATE(B98, ""en"", ""pl"")"),"Broń rzemieślnicza")</f>
        <v>Broń rzemieślnicza</v>
      </c>
      <c r="J98" s="25" t="str">
        <f>IFERROR(__xludf.DUMMYFUNCTION("GOOGLETRANSLATE(B98, ""en"", ""zh"")"),"制作武器")</f>
        <v>制作武器</v>
      </c>
      <c r="K98" s="25" t="str">
        <f>IFERROR(__xludf.DUMMYFUNCTION("GOOGLETRANSLATE(B98, ""en"", ""vi"")"),"Vũ khí chế tạo")</f>
        <v>Vũ khí chế tạo</v>
      </c>
      <c r="L98" s="23" t="str">
        <f>IFERROR(__xludf.DUMMYFUNCTION("GOOGLETRANSLATE(B98, ""en"", ""hr"")"),"Zanatsko oružje")</f>
        <v>Zanatsko oružje</v>
      </c>
      <c r="M98" s="23"/>
      <c r="N98" s="26"/>
      <c r="O98" s="26"/>
      <c r="P98" s="26"/>
      <c r="Q98" s="26"/>
      <c r="R98" s="26"/>
      <c r="S98" s="26"/>
      <c r="T98" s="26"/>
      <c r="U98" s="26"/>
      <c r="V98" s="26"/>
      <c r="W98" s="26"/>
      <c r="X98" s="26"/>
      <c r="Y98" s="26"/>
      <c r="Z98" s="26"/>
      <c r="AA98" s="26"/>
      <c r="AB98" s="26"/>
    </row>
    <row r="99">
      <c r="A99" s="21" t="s">
        <v>268</v>
      </c>
      <c r="B99" s="22" t="s">
        <v>269</v>
      </c>
      <c r="C99" s="23" t="str">
        <f>IFERROR(__xludf.DUMMYFUNCTION("GOOGLETRANSLATE(B99, ""en"", ""fr"")"),"Bancaire")</f>
        <v>Bancaire</v>
      </c>
      <c r="D99" s="23" t="str">
        <f>IFERROR(__xludf.DUMMYFUNCTION("GOOGLETRANSLATE(B99, ""en"", ""es"")"),"Bancario")</f>
        <v>Bancario</v>
      </c>
      <c r="E99" s="23" t="str">
        <f>IFERROR(__xludf.DUMMYFUNCTION("GOOGLETRANSLATE(B99, ""en"", ""ru"")"),"Банковское дело")</f>
        <v>Банковское дело</v>
      </c>
      <c r="F99" s="23" t="str">
        <f>IFERROR(__xludf.DUMMYFUNCTION("GOOGLETRANSLATE(B99, ""en"", ""tr"")"),"Bankacılık")</f>
        <v>Bankacılık</v>
      </c>
      <c r="G99" s="23" t="str">
        <f>IFERROR(__xludf.DUMMYFUNCTION("GOOGLETRANSLATE(B99, ""en"", ""pt"")"),"Bancário")</f>
        <v>Bancário</v>
      </c>
      <c r="H99" s="24" t="str">
        <f>IFERROR(__xludf.DUMMYFUNCTION("GOOGLETRANSLATE(B99, ""en"", ""de"")"),"Bankgeschäft")</f>
        <v>Bankgeschäft</v>
      </c>
      <c r="I99" s="23" t="str">
        <f>IFERROR(__xludf.DUMMYFUNCTION("GOOGLETRANSLATE(B99, ""en"", ""pl"")"),"Bankowość")</f>
        <v>Bankowość</v>
      </c>
      <c r="J99" s="25" t="str">
        <f>IFERROR(__xludf.DUMMYFUNCTION("GOOGLETRANSLATE(B99, ""en"", ""zh"")"),"银行业")</f>
        <v>银行业</v>
      </c>
      <c r="K99" s="25" t="str">
        <f>IFERROR(__xludf.DUMMYFUNCTION("GOOGLETRANSLATE(B99, ""en"", ""vi"")"),"Ngân hàng")</f>
        <v>Ngân hàng</v>
      </c>
      <c r="L99" s="23" t="str">
        <f>IFERROR(__xludf.DUMMYFUNCTION("GOOGLETRANSLATE(B99, ""en"", ""hr"")"),"Bankarstvo")</f>
        <v>Bankarstvo</v>
      </c>
      <c r="M99" s="23"/>
      <c r="N99" s="26"/>
      <c r="O99" s="26"/>
      <c r="P99" s="26"/>
      <c r="Q99" s="26"/>
      <c r="R99" s="26"/>
      <c r="S99" s="26"/>
      <c r="T99" s="26"/>
      <c r="U99" s="26"/>
      <c r="V99" s="26"/>
      <c r="W99" s="26"/>
      <c r="X99" s="26"/>
      <c r="Y99" s="26"/>
      <c r="Z99" s="26"/>
      <c r="AA99" s="26"/>
      <c r="AB99" s="26"/>
    </row>
    <row r="100">
      <c r="A100" s="21" t="s">
        <v>270</v>
      </c>
      <c r="B100" s="22" t="s">
        <v>271</v>
      </c>
      <c r="C100" s="23" t="str">
        <f>IFERROR(__xludf.DUMMYFUNCTION("GOOGLETRANSLATE(B100, ""en"", ""fr"")"),"Combat")</f>
        <v>Combat</v>
      </c>
      <c r="D100" s="23" t="str">
        <f>IFERROR(__xludf.DUMMYFUNCTION("GOOGLETRANSLATE(B100, ""en"", ""es"")"),"Combate")</f>
        <v>Combate</v>
      </c>
      <c r="E100" s="23" t="str">
        <f>IFERROR(__xludf.DUMMYFUNCTION("GOOGLETRANSLATE(B100, ""en"", ""ru"")"),"Боя")</f>
        <v>Боя</v>
      </c>
      <c r="F100" s="23" t="str">
        <f>IFERROR(__xludf.DUMMYFUNCTION("GOOGLETRANSLATE(B100, ""en"", ""tr"")"),"Savaşmak")</f>
        <v>Savaşmak</v>
      </c>
      <c r="G100" s="23" t="str">
        <f>IFERROR(__xludf.DUMMYFUNCTION("GOOGLETRANSLATE(B100, ""en"", ""pt"")"),"Combate")</f>
        <v>Combate</v>
      </c>
      <c r="H100" s="24" t="str">
        <f>IFERROR(__xludf.DUMMYFUNCTION("GOOGLETRANSLATE(B100, ""en"", ""de"")"),"Kampf")</f>
        <v>Kampf</v>
      </c>
      <c r="I100" s="23" t="str">
        <f>IFERROR(__xludf.DUMMYFUNCTION("GOOGLETRANSLATE(B100, ""en"", ""pl"")"),"Walka")</f>
        <v>Walka</v>
      </c>
      <c r="J100" s="25" t="str">
        <f>IFERROR(__xludf.DUMMYFUNCTION("GOOGLETRANSLATE(B100, ""en"", ""zh"")"),"战斗")</f>
        <v>战斗</v>
      </c>
      <c r="K100" s="25" t="str">
        <f>IFERROR(__xludf.DUMMYFUNCTION("GOOGLETRANSLATE(B100, ""en"", ""vi"")"),"Chiến đấu")</f>
        <v>Chiến đấu</v>
      </c>
      <c r="L100" s="23" t="str">
        <f>IFERROR(__xludf.DUMMYFUNCTION("GOOGLETRANSLATE(B100, ""en"", ""hr"")"),"Borba")</f>
        <v>Borba</v>
      </c>
      <c r="M100" s="23"/>
      <c r="N100" s="26"/>
      <c r="O100" s="26"/>
      <c r="P100" s="26"/>
      <c r="Q100" s="26"/>
      <c r="R100" s="26"/>
      <c r="S100" s="26"/>
      <c r="T100" s="26"/>
      <c r="U100" s="26"/>
      <c r="V100" s="26"/>
      <c r="W100" s="26"/>
      <c r="X100" s="26"/>
      <c r="Y100" s="26"/>
      <c r="Z100" s="26"/>
      <c r="AA100" s="26"/>
      <c r="AB100" s="26"/>
    </row>
    <row r="101">
      <c r="A101" s="21" t="s">
        <v>272</v>
      </c>
      <c r="B101" s="22" t="s">
        <v>273</v>
      </c>
      <c r="C101" s="23" t="str">
        <f>IFERROR(__xludf.DUMMYFUNCTION("GOOGLETRANSLATE(B101, ""en"", ""fr"")"),"TOUT")</f>
        <v>TOUT</v>
      </c>
      <c r="D101" s="23" t="str">
        <f>IFERROR(__xludf.DUMMYFUNCTION("GOOGLETRANSLATE(B101, ""en"", ""es"")"),"TODOS")</f>
        <v>TODOS</v>
      </c>
      <c r="E101" s="23" t="str">
        <f>IFERROR(__xludf.DUMMYFUNCTION("GOOGLETRANSLATE(B101, ""en"", ""ru"")"),"ВСЕ")</f>
        <v>ВСЕ</v>
      </c>
      <c r="F101" s="23" t="str">
        <f>IFERROR(__xludf.DUMMYFUNCTION("GOOGLETRANSLATE(B101, ""en"", ""tr"")"),"TÜM")</f>
        <v>TÜM</v>
      </c>
      <c r="G101" s="23" t="str">
        <f>IFERROR(__xludf.DUMMYFUNCTION("GOOGLETRANSLATE(B101, ""en"", ""pt"")"),"TUDO")</f>
        <v>TUDO</v>
      </c>
      <c r="H101" s="24" t="str">
        <f>IFERROR(__xludf.DUMMYFUNCTION("GOOGLETRANSLATE(B101, ""en"", ""de"")"),"ALLE")</f>
        <v>ALLE</v>
      </c>
      <c r="I101" s="23" t="str">
        <f>IFERROR(__xludf.DUMMYFUNCTION("GOOGLETRANSLATE(B101, ""en"", ""pl"")"),"WSZYSTKO")</f>
        <v>WSZYSTKO</v>
      </c>
      <c r="J101" s="25" t="str">
        <f>IFERROR(__xludf.DUMMYFUNCTION("GOOGLETRANSLATE(B101, ""en"", ""zh"")"),"全部")</f>
        <v>全部</v>
      </c>
      <c r="K101" s="25" t="str">
        <f>IFERROR(__xludf.DUMMYFUNCTION("GOOGLETRANSLATE(B101, ""en"", ""vi"")"),"TẤT CẢ CÁC")</f>
        <v>TẤT CẢ CÁC</v>
      </c>
      <c r="L101" s="23" t="str">
        <f>IFERROR(__xludf.DUMMYFUNCTION("GOOGLETRANSLATE(B101, ""en"", ""hr"")"),"SVI")</f>
        <v>SVI</v>
      </c>
      <c r="M101" s="23"/>
      <c r="N101" s="26"/>
      <c r="O101" s="26"/>
      <c r="P101" s="26"/>
      <c r="Q101" s="26"/>
      <c r="R101" s="26"/>
      <c r="S101" s="26"/>
      <c r="T101" s="26"/>
      <c r="U101" s="26"/>
      <c r="V101" s="26"/>
      <c r="W101" s="26"/>
      <c r="X101" s="26"/>
      <c r="Y101" s="26"/>
      <c r="Z101" s="26"/>
      <c r="AA101" s="26"/>
      <c r="AB101" s="26"/>
    </row>
    <row r="102">
      <c r="A102" s="21" t="s">
        <v>274</v>
      </c>
      <c r="B102" s="22" t="s">
        <v>275</v>
      </c>
      <c r="C102" s="23" t="str">
        <f>IFERROR(__xludf.DUMMYFUNCTION("GOOGLETRANSLATE(B102, ""en"", ""fr"")"),"LOCAL")</f>
        <v>LOCAL</v>
      </c>
      <c r="D102" s="23" t="str">
        <f>IFERROR(__xludf.DUMMYFUNCTION("GOOGLETRANSLATE(B102, ""en"", ""es"")"),"LOCAL")</f>
        <v>LOCAL</v>
      </c>
      <c r="E102" s="23" t="str">
        <f>IFERROR(__xludf.DUMMYFUNCTION("GOOGLETRANSLATE(B102, ""en"", ""ru"")"),"МЕСТНЫЙ")</f>
        <v>МЕСТНЫЙ</v>
      </c>
      <c r="F102" s="23" t="str">
        <f>IFERROR(__xludf.DUMMYFUNCTION("GOOGLETRANSLATE(B102, ""en"", ""tr"")"),"YEREL")</f>
        <v>YEREL</v>
      </c>
      <c r="G102" s="23" t="str">
        <f>IFERROR(__xludf.DUMMYFUNCTION("GOOGLETRANSLATE(B102, ""en"", ""pt"")"),"LOCAL")</f>
        <v>LOCAL</v>
      </c>
      <c r="H102" s="24" t="str">
        <f>IFERROR(__xludf.DUMMYFUNCTION("GOOGLETRANSLATE(B102, ""en"", ""de"")"),"LOKAL")</f>
        <v>LOKAL</v>
      </c>
      <c r="I102" s="23" t="str">
        <f>IFERROR(__xludf.DUMMYFUNCTION("GOOGLETRANSLATE(B102, ""en"", ""pl"")"),"LOKALNY")</f>
        <v>LOKALNY</v>
      </c>
      <c r="J102" s="25" t="str">
        <f>IFERROR(__xludf.DUMMYFUNCTION("GOOGLETRANSLATE(B102, ""en"", ""zh"")"),"当地的")</f>
        <v>当地的</v>
      </c>
      <c r="K102" s="25" t="str">
        <f>IFERROR(__xludf.DUMMYFUNCTION("GOOGLETRANSLATE(B102, ""en"", ""vi"")"),"ĐỊA PHƯƠNG")</f>
        <v>ĐỊA PHƯƠNG</v>
      </c>
      <c r="L102" s="23" t="str">
        <f>IFERROR(__xludf.DUMMYFUNCTION("GOOGLETRANSLATE(B102, ""en"", ""hr"")"),"Lokalni")</f>
        <v>Lokalni</v>
      </c>
      <c r="M102" s="23"/>
      <c r="N102" s="26"/>
      <c r="O102" s="26"/>
      <c r="P102" s="26"/>
      <c r="Q102" s="26"/>
      <c r="R102" s="26"/>
      <c r="S102" s="26"/>
      <c r="T102" s="26"/>
      <c r="U102" s="26"/>
      <c r="V102" s="26"/>
      <c r="W102" s="26"/>
      <c r="X102" s="26"/>
      <c r="Y102" s="26"/>
      <c r="Z102" s="26"/>
      <c r="AA102" s="26"/>
      <c r="AB102" s="26"/>
    </row>
    <row r="103">
      <c r="A103" s="21" t="s">
        <v>276</v>
      </c>
      <c r="B103" s="22" t="s">
        <v>277</v>
      </c>
      <c r="C103" s="23" t="str">
        <f>IFERROR(__xludf.DUMMYFUNCTION("GOOGLETRANSLATE(B103, ""en"", ""fr"")"),"GLOBAL")</f>
        <v>GLOBAL</v>
      </c>
      <c r="D103" s="23" t="str">
        <f>IFERROR(__xludf.DUMMYFUNCTION("GOOGLETRANSLATE(B103, ""en"", ""es"")"),"GLOBAL")</f>
        <v>GLOBAL</v>
      </c>
      <c r="E103" s="23" t="str">
        <f>IFERROR(__xludf.DUMMYFUNCTION("GOOGLETRANSLATE(B103, ""en"", ""ru"")"),"ГЛОБАЛЬНЫЙ")</f>
        <v>ГЛОБАЛЬНЫЙ</v>
      </c>
      <c r="F103" s="23" t="str">
        <f>IFERROR(__xludf.DUMMYFUNCTION("GOOGLETRANSLATE(B103, ""en"", ""tr"")"),"Küresel")</f>
        <v>Küresel</v>
      </c>
      <c r="G103" s="23" t="str">
        <f>IFERROR(__xludf.DUMMYFUNCTION("GOOGLETRANSLATE(B103, ""en"", ""pt"")"),"GLOBAL")</f>
        <v>GLOBAL</v>
      </c>
      <c r="H103" s="24" t="str">
        <f>IFERROR(__xludf.DUMMYFUNCTION("GOOGLETRANSLATE(B103, ""en"", ""de"")"),"Global")</f>
        <v>Global</v>
      </c>
      <c r="I103" s="23" t="str">
        <f>IFERROR(__xludf.DUMMYFUNCTION("GOOGLETRANSLATE(B103, ""en"", ""pl"")"),"ŚWIATOWY")</f>
        <v>ŚWIATOWY</v>
      </c>
      <c r="J103" s="25" t="str">
        <f>IFERROR(__xludf.DUMMYFUNCTION("GOOGLETRANSLATE(B103, ""en"", ""zh"")"),"全球的")</f>
        <v>全球的</v>
      </c>
      <c r="K103" s="25" t="str">
        <f>IFERROR(__xludf.DUMMYFUNCTION("GOOGLETRANSLATE(B103, ""en"", ""vi"")"),"TOÀN CẦU")</f>
        <v>TOÀN CẦU</v>
      </c>
      <c r="L103" s="23" t="str">
        <f>IFERROR(__xludf.DUMMYFUNCTION("GOOGLETRANSLATE(B103, ""en"", ""hr"")"),"GLOBALNO")</f>
        <v>GLOBALNO</v>
      </c>
      <c r="M103" s="23"/>
      <c r="N103" s="26"/>
      <c r="O103" s="26"/>
      <c r="P103" s="26"/>
      <c r="Q103" s="26"/>
      <c r="R103" s="26"/>
      <c r="S103" s="26"/>
      <c r="T103" s="26"/>
      <c r="U103" s="26"/>
      <c r="V103" s="26"/>
      <c r="W103" s="26"/>
      <c r="X103" s="26"/>
      <c r="Y103" s="26"/>
      <c r="Z103" s="26"/>
      <c r="AA103" s="26"/>
      <c r="AB103" s="26"/>
    </row>
    <row r="104">
      <c r="A104" s="21" t="s">
        <v>278</v>
      </c>
      <c r="B104" s="22" t="s">
        <v>279</v>
      </c>
      <c r="C104" s="23" t="str">
        <f>IFERROR(__xludf.DUMMYFUNCTION("GOOGLETRANSLATE(B104, ""en"", ""fr"")"),"COMMERCE")</f>
        <v>COMMERCE</v>
      </c>
      <c r="D104" s="23" t="str">
        <f>IFERROR(__xludf.DUMMYFUNCTION("GOOGLETRANSLATE(B104, ""en"", ""es"")"),"COMERCIO")</f>
        <v>COMERCIO</v>
      </c>
      <c r="E104" s="23" t="str">
        <f>IFERROR(__xludf.DUMMYFUNCTION("GOOGLETRANSLATE(B104, ""en"", ""ru"")"),"ТОРГОВЛЯ")</f>
        <v>ТОРГОВЛЯ</v>
      </c>
      <c r="F104" s="23" t="str">
        <f>IFERROR(__xludf.DUMMYFUNCTION("GOOGLETRANSLATE(B104, ""en"", ""tr"")"),"TİCARET")</f>
        <v>TİCARET</v>
      </c>
      <c r="G104" s="23" t="str">
        <f>IFERROR(__xludf.DUMMYFUNCTION("GOOGLETRANSLATE(B104, ""en"", ""pt"")"),"TROCA")</f>
        <v>TROCA</v>
      </c>
      <c r="H104" s="24" t="str">
        <f>IFERROR(__xludf.DUMMYFUNCTION("GOOGLETRANSLATE(B104, ""en"", ""de"")"),"HANDELN")</f>
        <v>HANDELN</v>
      </c>
      <c r="I104" s="23" t="str">
        <f>IFERROR(__xludf.DUMMYFUNCTION("GOOGLETRANSLATE(B104, ""en"", ""pl"")"),"HANDEL")</f>
        <v>HANDEL</v>
      </c>
      <c r="J104" s="25" t="str">
        <f>IFERROR(__xludf.DUMMYFUNCTION("GOOGLETRANSLATE(B104, ""en"", ""zh"")"),"贸易")</f>
        <v>贸易</v>
      </c>
      <c r="K104" s="25" t="str">
        <f>IFERROR(__xludf.DUMMYFUNCTION("GOOGLETRANSLATE(B104, ""en"", ""vi"")"),"BUÔN BÁN")</f>
        <v>BUÔN BÁN</v>
      </c>
      <c r="L104" s="23" t="str">
        <f>IFERROR(__xludf.DUMMYFUNCTION("GOOGLETRANSLATE(B104, ""en"", ""hr"")"),"TRGOVINA")</f>
        <v>TRGOVINA</v>
      </c>
      <c r="M104" s="23"/>
      <c r="N104" s="26"/>
      <c r="O104" s="26"/>
      <c r="P104" s="26"/>
      <c r="Q104" s="26"/>
      <c r="R104" s="26"/>
      <c r="S104" s="26"/>
      <c r="T104" s="26"/>
      <c r="U104" s="26"/>
      <c r="V104" s="26"/>
      <c r="W104" s="26"/>
      <c r="X104" s="26"/>
      <c r="Y104" s="26"/>
      <c r="Z104" s="26"/>
      <c r="AA104" s="26"/>
      <c r="AB104" s="26"/>
    </row>
    <row r="105">
      <c r="A105" s="21" t="s">
        <v>280</v>
      </c>
      <c r="B105" s="22" t="s">
        <v>281</v>
      </c>
      <c r="C105" s="23" t="str">
        <f>IFERROR(__xludf.DUMMYFUNCTION("GOOGLETRANSLATE(B105, ""en"", ""fr"")"),"Entrez un message")</f>
        <v>Entrez un message</v>
      </c>
      <c r="D105" s="23" t="str">
        <f>IFERROR(__xludf.DUMMYFUNCTION("GOOGLETRANSLATE(B105, ""en"", ""es"")"),"Ingrese un mensaje")</f>
        <v>Ingrese un mensaje</v>
      </c>
      <c r="E105" s="23" t="str">
        <f>IFERROR(__xludf.DUMMYFUNCTION("GOOGLETRANSLATE(B105, ""en"", ""ru"")"),"Введите сообщение")</f>
        <v>Введите сообщение</v>
      </c>
      <c r="F105" s="23" t="str">
        <f>IFERROR(__xludf.DUMMYFUNCTION("GOOGLETRANSLATE(B105, ""en"", ""tr"")"),"Mesaj girin")</f>
        <v>Mesaj girin</v>
      </c>
      <c r="G105" s="23" t="str">
        <f>IFERROR(__xludf.DUMMYFUNCTION("GOOGLETRANSLATE(B105, ""en"", ""pt"")"),"Insira uma mensagem")</f>
        <v>Insira uma mensagem</v>
      </c>
      <c r="H105" s="24" t="str">
        <f>IFERROR(__xludf.DUMMYFUNCTION("GOOGLETRANSLATE(B105, ""en"", ""de"")"),"Geben Sie eine Nachricht ein")</f>
        <v>Geben Sie eine Nachricht ein</v>
      </c>
      <c r="I105" s="23" t="str">
        <f>IFERROR(__xludf.DUMMYFUNCTION("GOOGLETRANSLATE(B105, ""en"", ""pl"")"),"Wprowadź wiadomość")</f>
        <v>Wprowadź wiadomość</v>
      </c>
      <c r="J105" s="25" t="str">
        <f>IFERROR(__xludf.DUMMYFUNCTION("GOOGLETRANSLATE(B105, ""en"", ""zh"")"),"输入消息")</f>
        <v>输入消息</v>
      </c>
      <c r="K105" s="25" t="str">
        <f>IFERROR(__xludf.DUMMYFUNCTION("GOOGLETRANSLATE(B105, ""en"", ""vi"")"),"Nhập tin nhắn")</f>
        <v>Nhập tin nhắn</v>
      </c>
      <c r="L105" s="23" t="str">
        <f>IFERROR(__xludf.DUMMYFUNCTION("GOOGLETRANSLATE(B105, ""en"", ""hr"")"),"Unesite poruku")</f>
        <v>Unesite poruku</v>
      </c>
      <c r="M105" s="23"/>
      <c r="N105" s="26"/>
      <c r="O105" s="26"/>
      <c r="P105" s="26"/>
      <c r="Q105" s="26"/>
      <c r="R105" s="26"/>
      <c r="S105" s="26"/>
      <c r="T105" s="26"/>
      <c r="U105" s="26"/>
      <c r="V105" s="26"/>
      <c r="W105" s="26"/>
      <c r="X105" s="26"/>
      <c r="Y105" s="26"/>
      <c r="Z105" s="26"/>
      <c r="AA105" s="26"/>
      <c r="AB105" s="26"/>
    </row>
    <row r="106">
      <c r="A106" s="21" t="s">
        <v>282</v>
      </c>
      <c r="B106" s="22" t="s">
        <v>282</v>
      </c>
      <c r="C106" s="23" t="s">
        <v>283</v>
      </c>
      <c r="D106" s="23" t="str">
        <f>IFERROR(__xludf.DUMMYFUNCTION("GOOGLETRANSLATE(B106, ""en"", ""es"")"),"Enfriarse")</f>
        <v>Enfriarse</v>
      </c>
      <c r="E106" s="23" t="str">
        <f>IFERROR(__xludf.DUMMYFUNCTION("GOOGLETRANSLATE(B106, ""en"", ""ru"")"),"Остывать")</f>
        <v>Остывать</v>
      </c>
      <c r="F106" s="23" t="str">
        <f>IFERROR(__xludf.DUMMYFUNCTION("GOOGLETRANSLATE(B106, ""en"", ""tr"")"),"Sakin ol")</f>
        <v>Sakin ol</v>
      </c>
      <c r="G106" s="23" t="str">
        <f>IFERROR(__xludf.DUMMYFUNCTION("GOOGLETRANSLATE(B106, ""en"", ""pt"")"),"Esfriar")</f>
        <v>Esfriar</v>
      </c>
      <c r="H106" s="24" t="str">
        <f>IFERROR(__xludf.DUMMYFUNCTION("GOOGLETRANSLATE(B106, ""en"", ""de"")"),"Abkühlen")</f>
        <v>Abkühlen</v>
      </c>
      <c r="I106" s="23" t="str">
        <f>IFERROR(__xludf.DUMMYFUNCTION("GOOGLETRANSLATE(B106, ""en"", ""pl"")"),"Ochłonąć")</f>
        <v>Ochłonąć</v>
      </c>
      <c r="J106" s="25" t="str">
        <f>IFERROR(__xludf.DUMMYFUNCTION("GOOGLETRANSLATE(B106, ""en"", ""zh"")"),"冷却")</f>
        <v>冷却</v>
      </c>
      <c r="K106" s="25" t="str">
        <f>IFERROR(__xludf.DUMMYFUNCTION("GOOGLETRANSLATE(B106, ""en"", ""vi"")"),"Nguội đi")</f>
        <v>Nguội đi</v>
      </c>
      <c r="L106" s="23" t="str">
        <f>IFERROR(__xludf.DUMMYFUNCTION("GOOGLETRANSLATE(B106, ""en"", ""hr"")"),"Smiri se")</f>
        <v>Smiri se</v>
      </c>
      <c r="M106" s="23"/>
      <c r="N106" s="26"/>
      <c r="O106" s="26"/>
      <c r="P106" s="26"/>
      <c r="Q106" s="26"/>
      <c r="R106" s="26"/>
      <c r="S106" s="26"/>
      <c r="T106" s="26"/>
      <c r="U106" s="26"/>
      <c r="V106" s="26"/>
      <c r="W106" s="26"/>
      <c r="X106" s="26"/>
      <c r="Y106" s="26"/>
      <c r="Z106" s="26"/>
      <c r="AA106" s="26"/>
      <c r="AB106" s="26"/>
    </row>
    <row r="107">
      <c r="A107" s="21" t="s">
        <v>284</v>
      </c>
      <c r="B107" s="22" t="s">
        <v>284</v>
      </c>
      <c r="C107" s="23" t="str">
        <f>IFERROR(__xludf.DUMMYFUNCTION("GOOGLETRANSLATE(B107, ""en"", ""fr"")"),"Envoi en cours")</f>
        <v>Envoi en cours</v>
      </c>
      <c r="D107" s="23" t="str">
        <f>IFERROR(__xludf.DUMMYFUNCTION("GOOGLETRANSLATE(B107, ""en"", ""es"")"),"Enviando")</f>
        <v>Enviando</v>
      </c>
      <c r="E107" s="23" t="str">
        <f>IFERROR(__xludf.DUMMYFUNCTION("GOOGLETRANSLATE(B107, ""en"", ""ru"")"),"Отправка")</f>
        <v>Отправка</v>
      </c>
      <c r="F107" s="23" t="str">
        <f>IFERROR(__xludf.DUMMYFUNCTION("GOOGLETRANSLATE(B107, ""en"", ""tr"")"),"Gönderme")</f>
        <v>Gönderme</v>
      </c>
      <c r="G107" s="23" t="str">
        <f>IFERROR(__xludf.DUMMYFUNCTION("GOOGLETRANSLATE(B107, ""en"", ""pt"")"),"Envio")</f>
        <v>Envio</v>
      </c>
      <c r="H107" s="24" t="str">
        <f>IFERROR(__xludf.DUMMYFUNCTION("GOOGLETRANSLATE(B107, ""en"", ""de"")"),"Senden")</f>
        <v>Senden</v>
      </c>
      <c r="I107" s="23" t="str">
        <f>IFERROR(__xludf.DUMMYFUNCTION("GOOGLETRANSLATE(B107, ""en"", ""pl"")"),"Wysyłanie")</f>
        <v>Wysyłanie</v>
      </c>
      <c r="J107" s="25" t="str">
        <f>IFERROR(__xludf.DUMMYFUNCTION("GOOGLETRANSLATE(B107, ""en"", ""zh"")"),"发送")</f>
        <v>发送</v>
      </c>
      <c r="K107" s="25" t="str">
        <f>IFERROR(__xludf.DUMMYFUNCTION("GOOGLETRANSLATE(B107, ""en"", ""vi"")"),"Gửi")</f>
        <v>Gửi</v>
      </c>
      <c r="L107" s="23" t="str">
        <f>IFERROR(__xludf.DUMMYFUNCTION("GOOGLETRANSLATE(B107, ""en"", ""hr"")"),"Slanje")</f>
        <v>Slanje</v>
      </c>
      <c r="M107" s="23"/>
      <c r="N107" s="26"/>
      <c r="O107" s="26"/>
      <c r="P107" s="26"/>
      <c r="Q107" s="26"/>
      <c r="R107" s="26"/>
      <c r="S107" s="26"/>
      <c r="T107" s="26"/>
      <c r="U107" s="26"/>
      <c r="V107" s="26"/>
      <c r="W107" s="26"/>
      <c r="X107" s="26"/>
      <c r="Y107" s="26"/>
      <c r="Z107" s="26"/>
      <c r="AA107" s="26"/>
      <c r="AB107" s="26"/>
    </row>
    <row r="108">
      <c r="A108" s="21" t="s">
        <v>285</v>
      </c>
      <c r="B108" s="22" t="s">
        <v>179</v>
      </c>
      <c r="C108" s="23" t="str">
        <f>IFERROR(__xludf.DUMMYFUNCTION("GOOGLETRANSLATE(B108, ""en"", ""fr"")"),"Statistiques")</f>
        <v>Statistiques</v>
      </c>
      <c r="D108" s="23" t="str">
        <f>IFERROR(__xludf.DUMMYFUNCTION("GOOGLETRANSLATE(B108, ""en"", ""es"")"),"Estadísticas")</f>
        <v>Estadísticas</v>
      </c>
      <c r="E108" s="23" t="str">
        <f>IFERROR(__xludf.DUMMYFUNCTION("GOOGLETRANSLATE(B108, ""en"", ""ru"")"),"Статистика")</f>
        <v>Статистика</v>
      </c>
      <c r="F108" s="23" t="str">
        <f>IFERROR(__xludf.DUMMYFUNCTION("GOOGLETRANSLATE(B108, ""en"", ""tr"")"),"İstatistikler")</f>
        <v>İstatistikler</v>
      </c>
      <c r="G108" s="23" t="str">
        <f>IFERROR(__xludf.DUMMYFUNCTION("GOOGLETRANSLATE(B108, ""en"", ""pt"")"),"Estatísticas")</f>
        <v>Estatísticas</v>
      </c>
      <c r="H108" s="24" t="str">
        <f>IFERROR(__xludf.DUMMYFUNCTION("GOOGLETRANSLATE(B108, ""en"", ""de"")"),"Statistiken")</f>
        <v>Statistiken</v>
      </c>
      <c r="I108" s="23" t="str">
        <f>IFERROR(__xludf.DUMMYFUNCTION("GOOGLETRANSLATE(B108, ""en"", ""pl"")"),"Statystyki")</f>
        <v>Statystyki</v>
      </c>
      <c r="J108" s="25" t="str">
        <f>IFERROR(__xludf.DUMMYFUNCTION("GOOGLETRANSLATE(B108, ""en"", ""zh"")"),"统计")</f>
        <v>统计</v>
      </c>
      <c r="K108" s="25" t="str">
        <f>IFERROR(__xludf.DUMMYFUNCTION("GOOGLETRANSLATE(B108, ""en"", ""vi"")"),"Số liệu thống kê")</f>
        <v>Số liệu thống kê</v>
      </c>
      <c r="L108" s="23" t="str">
        <f>IFERROR(__xludf.DUMMYFUNCTION("GOOGLETRANSLATE(B108, ""en"", ""hr"")"),"Statistika")</f>
        <v>Statistika</v>
      </c>
      <c r="M108" s="23"/>
      <c r="N108" s="26"/>
      <c r="O108" s="26"/>
      <c r="P108" s="26"/>
      <c r="Q108" s="26"/>
      <c r="R108" s="26"/>
      <c r="S108" s="26"/>
      <c r="T108" s="26"/>
      <c r="U108" s="26"/>
      <c r="V108" s="26"/>
      <c r="W108" s="26"/>
      <c r="X108" s="26"/>
      <c r="Y108" s="26"/>
      <c r="Z108" s="26"/>
      <c r="AA108" s="26"/>
      <c r="AB108" s="26"/>
    </row>
    <row r="109">
      <c r="A109" s="21" t="s">
        <v>286</v>
      </c>
      <c r="B109" s="22" t="s">
        <v>287</v>
      </c>
      <c r="C109" s="23" t="str">
        <f>IFERROR(__xludf.DUMMYFUNCTION("GOOGLETRANSLATE(B109, ""en"", ""fr"")"),"Banque")</f>
        <v>Banque</v>
      </c>
      <c r="D109" s="23" t="str">
        <f>IFERROR(__xludf.DUMMYFUNCTION("GOOGLETRANSLATE(B109, ""en"", ""es"")"),"Banco")</f>
        <v>Banco</v>
      </c>
      <c r="E109" s="23" t="str">
        <f>IFERROR(__xludf.DUMMYFUNCTION("GOOGLETRANSLATE(B109, ""en"", ""ru"")"),"Банк")</f>
        <v>Банк</v>
      </c>
      <c r="F109" s="23" t="str">
        <f>IFERROR(__xludf.DUMMYFUNCTION("GOOGLETRANSLATE(B109, ""en"", ""tr"")"),"Banka")</f>
        <v>Banka</v>
      </c>
      <c r="G109" s="23" t="str">
        <f>IFERROR(__xludf.DUMMYFUNCTION("GOOGLETRANSLATE(B109, ""en"", ""pt"")"),"Banco")</f>
        <v>Banco</v>
      </c>
      <c r="H109" s="24" t="str">
        <f>IFERROR(__xludf.DUMMYFUNCTION("GOOGLETRANSLATE(B109, ""en"", ""de"")"),"Bank")</f>
        <v>Bank</v>
      </c>
      <c r="I109" s="23" t="str">
        <f>IFERROR(__xludf.DUMMYFUNCTION("GOOGLETRANSLATE(B109, ""en"", ""pl"")"),"Bank")</f>
        <v>Bank</v>
      </c>
      <c r="J109" s="25" t="str">
        <f>IFERROR(__xludf.DUMMYFUNCTION("GOOGLETRANSLATE(B109, ""en"", ""zh"")"),"银行")</f>
        <v>银行</v>
      </c>
      <c r="K109" s="25" t="str">
        <f>IFERROR(__xludf.DUMMYFUNCTION("GOOGLETRANSLATE(B109, ""en"", ""vi"")"),"Ngân hàng")</f>
        <v>Ngân hàng</v>
      </c>
      <c r="L109" s="23" t="str">
        <f>IFERROR(__xludf.DUMMYFUNCTION("GOOGLETRANSLATE(B109, ""en"", ""hr"")"),"Banka")</f>
        <v>Banka</v>
      </c>
      <c r="M109" s="23"/>
      <c r="N109" s="26"/>
      <c r="O109" s="26"/>
      <c r="P109" s="26"/>
      <c r="Q109" s="26"/>
      <c r="R109" s="26"/>
      <c r="S109" s="26"/>
      <c r="T109" s="26"/>
      <c r="U109" s="26"/>
      <c r="V109" s="26"/>
      <c r="W109" s="26"/>
      <c r="X109" s="26"/>
      <c r="Y109" s="26"/>
      <c r="Z109" s="26"/>
      <c r="AA109" s="26"/>
      <c r="AB109" s="26"/>
    </row>
    <row r="110">
      <c r="A110" s="21" t="s">
        <v>288</v>
      </c>
      <c r="B110" s="22" t="s">
        <v>289</v>
      </c>
      <c r="C110" s="23" t="s">
        <v>290</v>
      </c>
      <c r="D110" s="23" t="str">
        <f>IFERROR(__xludf.DUMMYFUNCTION("GOOGLETRANSLATE(B110, ""en"", ""es"")"),"Deposite todos los artículos de inventario")</f>
        <v>Deposite todos los artículos de inventario</v>
      </c>
      <c r="E110" s="23" t="str">
        <f>IFERROR(__xludf.DUMMYFUNCTION("GOOGLETRANSLATE(B110, ""en"", ""ru"")"),"Депонировать все товары инвентаря")</f>
        <v>Депонировать все товары инвентаря</v>
      </c>
      <c r="F110" s="23" t="str">
        <f>IFERROR(__xludf.DUMMYFUNCTION("GOOGLETRANSLATE(B110, ""en"", ""tr"")"),"Tüm envanter öğelerini yatırın")</f>
        <v>Tüm envanter öğelerini yatırın</v>
      </c>
      <c r="G110" s="23" t="str">
        <f>IFERROR(__xludf.DUMMYFUNCTION("GOOGLETRANSLATE(B110, ""en"", ""pt"")"),"Deposite todos os itens de inventário")</f>
        <v>Deposite todos os itens de inventário</v>
      </c>
      <c r="H110" s="24" t="str">
        <f>IFERROR(__xludf.DUMMYFUNCTION("GOOGLETRANSLATE(B110, ""en"", ""de"")"),"Zahlen Sie alle Bestandsgegenstände ein")</f>
        <v>Zahlen Sie alle Bestandsgegenstände ein</v>
      </c>
      <c r="I110" s="23" t="str">
        <f>IFERROR(__xludf.DUMMYFUNCTION("GOOGLETRANSLATE(B110, ""en"", ""pl"")"),"Zdeponuj wszystkie elementy zapasów")</f>
        <v>Zdeponuj wszystkie elementy zapasów</v>
      </c>
      <c r="J110" s="25" t="str">
        <f>IFERROR(__xludf.DUMMYFUNCTION("GOOGLETRANSLATE(B110, ""en"", ""zh"")"),"存入所有库存项目")</f>
        <v>存入所有库存项目</v>
      </c>
      <c r="K110" s="25" t="str">
        <f>IFERROR(__xludf.DUMMYFUNCTION("GOOGLETRANSLATE(B110, ""en"", ""vi"")"),"Gửi tất cả các mặt hàng hàng tồn kho")</f>
        <v>Gửi tất cả các mặt hàng hàng tồn kho</v>
      </c>
      <c r="L110" s="23" t="str">
        <f>IFERROR(__xludf.DUMMYFUNCTION("GOOGLETRANSLATE(B110, ""en"", ""hr"")"),"Položite sve stavke zaliha")</f>
        <v>Položite sve stavke zaliha</v>
      </c>
      <c r="M110" s="23"/>
      <c r="N110" s="26"/>
      <c r="O110" s="26"/>
      <c r="P110" s="26"/>
      <c r="Q110" s="26"/>
      <c r="R110" s="26"/>
      <c r="S110" s="26"/>
      <c r="T110" s="26"/>
      <c r="U110" s="26"/>
      <c r="V110" s="26"/>
      <c r="W110" s="26"/>
      <c r="X110" s="26"/>
      <c r="Y110" s="26"/>
      <c r="Z110" s="26"/>
      <c r="AA110" s="26"/>
      <c r="AB110" s="26"/>
    </row>
    <row r="111">
      <c r="A111" s="21" t="s">
        <v>291</v>
      </c>
      <c r="B111" s="22" t="s">
        <v>292</v>
      </c>
      <c r="C111" s="23" t="s">
        <v>293</v>
      </c>
      <c r="D111" s="23" t="str">
        <f>IFERROR(__xludf.DUMMYFUNCTION("GOOGLETRANSLATE(B111, ""en"", ""es"")"),"La cuenta necesaria para usar peso de almacenamiento bancario.")</f>
        <v>La cuenta necesaria para usar peso de almacenamiento bancario.</v>
      </c>
      <c r="E111" s="23" t="str">
        <f>IFERROR(__xludf.DUMMYFUNCTION("GOOGLETRANSLATE(B111, ""en"", ""ru"")"),"Счет необходим для использования веса хранения банка.")</f>
        <v>Счет необходим для использования веса хранения банка.</v>
      </c>
      <c r="F111" s="23" t="str">
        <f>IFERROR(__xludf.DUMMYFUNCTION("GOOGLETRANSLATE(B111, ""en"", ""tr"")"),"Banka depolama ağırlığını ucror etmek için gereken hesap.")</f>
        <v>Banka depolama ağırlığını ucror etmek için gereken hesap.</v>
      </c>
      <c r="G111" s="23" t="str">
        <f>IFERROR(__xludf.DUMMYFUNCTION("GOOGLETRANSLATE(B111, ""en"", ""pt"")"),"Conta necessária para o peso do armazenamento bancário UGRADE.")</f>
        <v>Conta necessária para o peso do armazenamento bancário UGRADE.</v>
      </c>
      <c r="H111" s="24" t="str">
        <f>IFERROR(__xludf.DUMMYFUNCTION("GOOGLETRANSLATE(B111, ""en"", ""de"")"),"Konto erforderlich, um das Speichergewicht der Bankgrade zu erhalten.")</f>
        <v>Konto erforderlich, um das Speichergewicht der Bankgrade zu erhalten.</v>
      </c>
      <c r="I111" s="23" t="str">
        <f>IFERROR(__xludf.DUMMYFUNCTION("GOOGLETRANSLATE(B111, ""en"", ""pl"")"),"Konto potrzebne do masy przechowywania banku Ugrade.")</f>
        <v>Konto potrzebne do masy przechowywania banku Ugrade.</v>
      </c>
      <c r="J111" s="25" t="str">
        <f>IFERROR(__xludf.DUMMYFUNCTION("GOOGLETRANSLATE(B111, ""en"", ""zh"")"),"乳房存储重量所需的帐户。")</f>
        <v>乳房存储重量所需的帐户。</v>
      </c>
      <c r="K111" s="25" t="str">
        <f>IFERROR(__xludf.DUMMYFUNCTION("GOOGLETRANSLATE(B111, ""en"", ""vi"")"),"Tài khoản cần thiết cho trọng lượng lưu trữ ngân hàng.")</f>
        <v>Tài khoản cần thiết cho trọng lượng lưu trữ ngân hàng.</v>
      </c>
      <c r="L111" s="23" t="str">
        <f>IFERROR(__xludf.DUMMYFUNCTION("GOOGLETRANSLATE(B111, ""en"", ""hr"")"),"Račun potreban za ugradsku težinu skladištenja banke.")</f>
        <v>Račun potreban za ugradsku težinu skladištenja banke.</v>
      </c>
      <c r="M111" s="23"/>
      <c r="N111" s="26"/>
      <c r="O111" s="26"/>
      <c r="P111" s="26"/>
      <c r="Q111" s="26"/>
      <c r="R111" s="26"/>
      <c r="S111" s="26"/>
      <c r="T111" s="26"/>
      <c r="U111" s="26"/>
      <c r="V111" s="26"/>
      <c r="W111" s="26"/>
      <c r="X111" s="26"/>
      <c r="Y111" s="26"/>
      <c r="Z111" s="26"/>
      <c r="AA111" s="26"/>
      <c r="AB111" s="26"/>
    </row>
    <row r="112">
      <c r="A112" s="21" t="s">
        <v>294</v>
      </c>
      <c r="B112" s="22" t="s">
        <v>295</v>
      </c>
      <c r="C112" s="23" t="s">
        <v>296</v>
      </c>
      <c r="D112" s="23" t="str">
        <f>IFERROR(__xludf.DUMMYFUNCTION("GOOGLETRANSLATE(B112, ""en"", ""es"")"),"Actualizar el almacenamiento del banco")</f>
        <v>Actualizar el almacenamiento del banco</v>
      </c>
      <c r="E112" s="23" t="str">
        <f>IFERROR(__xludf.DUMMYFUNCTION("GOOGLETRANSLATE(B112, ""en"", ""ru"")"),"Обновление банка хранения")</f>
        <v>Обновление банка хранения</v>
      </c>
      <c r="F112" s="23" t="str">
        <f>IFERROR(__xludf.DUMMYFUNCTION("GOOGLETRANSLATE(B112, ""en"", ""tr"")"),"Banka Depolamasını Yükseltme")</f>
        <v>Banka Depolamasını Yükseltme</v>
      </c>
      <c r="G112" s="23" t="str">
        <f>IFERROR(__xludf.DUMMYFUNCTION("GOOGLETRANSLATE(B112, ""en"", ""pt"")"),"Atualizar armazenamento bancário")</f>
        <v>Atualizar armazenamento bancário</v>
      </c>
      <c r="H112" s="24" t="str">
        <f>IFERROR(__xludf.DUMMYFUNCTION("GOOGLETRANSLATE(B112, ""en"", ""de"")"),"Upgrade Bankspeicher")</f>
        <v>Upgrade Bankspeicher</v>
      </c>
      <c r="I112" s="23" t="str">
        <f>IFERROR(__xludf.DUMMYFUNCTION("GOOGLETRANSLATE(B112, ""en"", ""pl"")"),"Uaktualnij przechowywanie banków")</f>
        <v>Uaktualnij przechowywanie banków</v>
      </c>
      <c r="J112" s="25" t="str">
        <f>IFERROR(__xludf.DUMMYFUNCTION("GOOGLETRANSLATE(B112, ""en"", ""zh"")"),"升级银行存储")</f>
        <v>升级银行存储</v>
      </c>
      <c r="K112" s="25" t="str">
        <f>IFERROR(__xludf.DUMMYFUNCTION("GOOGLETRANSLATE(B112, ""en"", ""vi"")"),"Nâng cấp lưu trữ ngân hàng")</f>
        <v>Nâng cấp lưu trữ ngân hàng</v>
      </c>
      <c r="L112" s="23" t="str">
        <f>IFERROR(__xludf.DUMMYFUNCTION("GOOGLETRANSLATE(B112, ""en"", ""hr"")"),"Nadogradite bankarsku pohranu")</f>
        <v>Nadogradite bankarsku pohranu</v>
      </c>
      <c r="M112" s="23"/>
      <c r="N112" s="26"/>
      <c r="O112" s="26"/>
      <c r="P112" s="26"/>
      <c r="Q112" s="26"/>
      <c r="R112" s="26"/>
      <c r="S112" s="26"/>
      <c r="T112" s="26"/>
      <c r="U112" s="26"/>
      <c r="V112" s="26"/>
      <c r="W112" s="26"/>
      <c r="X112" s="26"/>
      <c r="Y112" s="26"/>
      <c r="Z112" s="26"/>
      <c r="AA112" s="26"/>
      <c r="AB112" s="26"/>
    </row>
    <row r="113">
      <c r="A113" s="21" t="s">
        <v>297</v>
      </c>
      <c r="B113" s="22" t="s">
        <v>297</v>
      </c>
      <c r="C113" s="23" t="s">
        <v>298</v>
      </c>
      <c r="D113" s="23" t="str">
        <f>IFERROR(__xludf.DUMMYFUNCTION("GOOGLETRANSLATE(B113, ""en"", ""es"")"),"No es suficiente gloria")</f>
        <v>No es suficiente gloria</v>
      </c>
      <c r="E113" s="23" t="str">
        <f>IFERROR(__xludf.DUMMYFUNCTION("GOOGLETRANSLATE(B113, ""en"", ""ru"")"),"Недостаточно слава")</f>
        <v>Недостаточно слава</v>
      </c>
      <c r="F113" s="23" t="str">
        <f>IFERROR(__xludf.DUMMYFUNCTION("GOOGLETRANSLATE(B113, ""en"", ""tr"")"),"Yeterli zafer yok")</f>
        <v>Yeterli zafer yok</v>
      </c>
      <c r="G113" s="23" t="str">
        <f>IFERROR(__xludf.DUMMYFUNCTION("GOOGLETRANSLATE(B113, ""en"", ""pt"")"),"Glória insuficiente")</f>
        <v>Glória insuficiente</v>
      </c>
      <c r="H113" s="24" t="str">
        <f>IFERROR(__xludf.DUMMYFUNCTION("GOOGLETRANSLATE(B113, ""en"", ""de"")"),"Nicht genug Ruhm")</f>
        <v>Nicht genug Ruhm</v>
      </c>
      <c r="I113" s="23" t="str">
        <f>IFERROR(__xludf.DUMMYFUNCTION("GOOGLETRANSLATE(B113, ""en"", ""pl"")"),"Za mało chwały")</f>
        <v>Za mało chwały</v>
      </c>
      <c r="J113" s="25" t="str">
        <f>IFERROR(__xludf.DUMMYFUNCTION("GOOGLETRANSLATE(B113, ""en"", ""zh"")"),"没有足够的荣耀")</f>
        <v>没有足够的荣耀</v>
      </c>
      <c r="K113" s="25" t="str">
        <f>IFERROR(__xludf.DUMMYFUNCTION("GOOGLETRANSLATE(B113, ""en"", ""vi"")"),"Không đủ vinh quang")</f>
        <v>Không đủ vinh quang</v>
      </c>
      <c r="L113" s="23" t="str">
        <f>IFERROR(__xludf.DUMMYFUNCTION("GOOGLETRANSLATE(B113, ""en"", ""hr"")"),"Nema dovoljno slave")</f>
        <v>Nema dovoljno slave</v>
      </c>
      <c r="M113" s="23"/>
      <c r="N113" s="26"/>
      <c r="O113" s="26"/>
      <c r="P113" s="26"/>
      <c r="Q113" s="26"/>
      <c r="R113" s="26"/>
      <c r="S113" s="26"/>
      <c r="T113" s="26"/>
      <c r="U113" s="26"/>
      <c r="V113" s="26"/>
      <c r="W113" s="26"/>
      <c r="X113" s="26"/>
      <c r="Y113" s="26"/>
      <c r="Z113" s="26"/>
      <c r="AA113" s="26"/>
      <c r="AB113" s="26"/>
    </row>
    <row r="114">
      <c r="A114" s="21" t="s">
        <v>299</v>
      </c>
      <c r="B114" s="22" t="s">
        <v>299</v>
      </c>
      <c r="C114" s="23" t="str">
        <f>IFERROR(__xludf.DUMMYFUNCTION("GOOGLETRANSLATE(B114, ""en"", ""fr"")"),"Stockage")</f>
        <v>Stockage</v>
      </c>
      <c r="D114" s="23" t="str">
        <f>IFERROR(__xludf.DUMMYFUNCTION("GOOGLETRANSLATE(B114, ""en"", ""es"")"),"Almacenamiento")</f>
        <v>Almacenamiento</v>
      </c>
      <c r="E114" s="23" t="str">
        <f>IFERROR(__xludf.DUMMYFUNCTION("GOOGLETRANSLATE(B114, ""en"", ""ru"")"),"Хранилище")</f>
        <v>Хранилище</v>
      </c>
      <c r="F114" s="23" t="str">
        <f>IFERROR(__xludf.DUMMYFUNCTION("GOOGLETRANSLATE(B114, ""en"", ""tr"")"),"Depolamak")</f>
        <v>Depolamak</v>
      </c>
      <c r="G114" s="23" t="str">
        <f>IFERROR(__xludf.DUMMYFUNCTION("GOOGLETRANSLATE(B114, ""en"", ""pt"")"),"Armazenar")</f>
        <v>Armazenar</v>
      </c>
      <c r="H114" s="24" t="str">
        <f>IFERROR(__xludf.DUMMYFUNCTION("GOOGLETRANSLATE(B114, ""en"", ""de"")"),"Lagerung")</f>
        <v>Lagerung</v>
      </c>
      <c r="I114" s="23" t="str">
        <f>IFERROR(__xludf.DUMMYFUNCTION("GOOGLETRANSLATE(B114, ""en"", ""pl"")"),"Magazynowanie")</f>
        <v>Magazynowanie</v>
      </c>
      <c r="J114" s="25" t="str">
        <f>IFERROR(__xludf.DUMMYFUNCTION("GOOGLETRANSLATE(B114, ""en"", ""zh"")"),"贮存")</f>
        <v>贮存</v>
      </c>
      <c r="K114" s="25" t="str">
        <f>IFERROR(__xludf.DUMMYFUNCTION("GOOGLETRANSLATE(B114, ""en"", ""vi"")"),"Kho")</f>
        <v>Kho</v>
      </c>
      <c r="L114" s="23" t="str">
        <f>IFERROR(__xludf.DUMMYFUNCTION("GOOGLETRANSLATE(B114, ""en"", ""hr"")"),"Skladištenje")</f>
        <v>Skladištenje</v>
      </c>
      <c r="M114" s="23"/>
      <c r="N114" s="26"/>
      <c r="O114" s="26"/>
      <c r="P114" s="26"/>
      <c r="Q114" s="26"/>
      <c r="R114" s="26"/>
      <c r="S114" s="26"/>
      <c r="T114" s="26"/>
      <c r="U114" s="26"/>
      <c r="V114" s="26"/>
      <c r="W114" s="26"/>
      <c r="X114" s="26"/>
      <c r="Y114" s="26"/>
      <c r="Z114" s="26"/>
      <c r="AA114" s="26"/>
      <c r="AB114" s="26"/>
    </row>
    <row r="115">
      <c r="A115" s="21" t="s">
        <v>300</v>
      </c>
      <c r="B115" s="22" t="s">
        <v>301</v>
      </c>
      <c r="C115" s="23" t="s">
        <v>302</v>
      </c>
      <c r="D115" s="23" t="str">
        <f>IFERROR(__xludf.DUMMYFUNCTION("GOOGLETRANSLATE(B115, ""en"", ""es"")"),"Peso total de almacenamiento")</f>
        <v>Peso total de almacenamiento</v>
      </c>
      <c r="E115" s="23" t="str">
        <f>IFERROR(__xludf.DUMMYFUNCTION("GOOGLETRANSLATE(B115, ""en"", ""ru"")"),"Общий вес хранения")</f>
        <v>Общий вес хранения</v>
      </c>
      <c r="F115" s="23" t="str">
        <f>IFERROR(__xludf.DUMMYFUNCTION("GOOGLETRANSLATE(B115, ""en"", ""tr"")"),"Toplam depolama ağırlığı")</f>
        <v>Toplam depolama ağırlığı</v>
      </c>
      <c r="G115" s="23" t="str">
        <f>IFERROR(__xludf.DUMMYFUNCTION("GOOGLETRANSLATE(B115, ""en"", ""pt"")"),"Peso total de armazenamento")</f>
        <v>Peso total de armazenamento</v>
      </c>
      <c r="H115" s="24" t="str">
        <f>IFERROR(__xludf.DUMMYFUNCTION("GOOGLETRANSLATE(B115, ""en"", ""de"")"),"Gesamtspeichergewicht")</f>
        <v>Gesamtspeichergewicht</v>
      </c>
      <c r="I115" s="23" t="str">
        <f>IFERROR(__xludf.DUMMYFUNCTION("GOOGLETRANSLATE(B115, ""en"", ""pl"")"),"Całkowita masa przechowywania")</f>
        <v>Całkowita masa przechowywania</v>
      </c>
      <c r="J115" s="25" t="str">
        <f>IFERROR(__xludf.DUMMYFUNCTION("GOOGLETRANSLATE(B115, ""en"", ""zh"")"),"总存储重量")</f>
        <v>总存储重量</v>
      </c>
      <c r="K115" s="25" t="str">
        <f>IFERROR(__xludf.DUMMYFUNCTION("GOOGLETRANSLATE(B115, ""en"", ""vi"")"),"Tổng trọng lượng lưu trữ")</f>
        <v>Tổng trọng lượng lưu trữ</v>
      </c>
      <c r="L115" s="23" t="str">
        <f>IFERROR(__xludf.DUMMYFUNCTION("GOOGLETRANSLATE(B115, ""en"", ""hr"")"),"Ukupna težina skladištenja")</f>
        <v>Ukupna težina skladištenja</v>
      </c>
      <c r="M115" s="23"/>
      <c r="N115" s="26"/>
      <c r="O115" s="26"/>
      <c r="P115" s="26"/>
      <c r="Q115" s="26"/>
      <c r="R115" s="26"/>
      <c r="S115" s="26"/>
      <c r="T115" s="26"/>
      <c r="U115" s="26"/>
      <c r="V115" s="26"/>
      <c r="W115" s="26"/>
      <c r="X115" s="26"/>
      <c r="Y115" s="26"/>
      <c r="Z115" s="26"/>
      <c r="AA115" s="26"/>
      <c r="AB115" s="26"/>
    </row>
    <row r="116">
      <c r="A116" s="21" t="s">
        <v>303</v>
      </c>
      <c r="B116" s="22" t="s">
        <v>304</v>
      </c>
      <c r="C116" s="23" t="str">
        <f>IFERROR(__xludf.DUMMYFUNCTION("GOOGLETRANSLATE(B116, ""en"", ""fr"")"),"Le stockage est vide.")</f>
        <v>Le stockage est vide.</v>
      </c>
      <c r="D116" s="23" t="str">
        <f>IFERROR(__xludf.DUMMYFUNCTION("GOOGLETRANSLATE(B116, ""en"", ""es"")"),"El almacenamiento está vacío.")</f>
        <v>El almacenamiento está vacío.</v>
      </c>
      <c r="E116" s="23" t="str">
        <f>IFERROR(__xludf.DUMMYFUNCTION("GOOGLETRANSLATE(B116, ""en"", ""ru"")"),"Хранение пусто.")</f>
        <v>Хранение пусто.</v>
      </c>
      <c r="F116" s="23" t="str">
        <f>IFERROR(__xludf.DUMMYFUNCTION("GOOGLETRANSLATE(B116, ""en"", ""tr"")"),"Depolama boş.")</f>
        <v>Depolama boş.</v>
      </c>
      <c r="G116" s="23" t="str">
        <f>IFERROR(__xludf.DUMMYFUNCTION("GOOGLETRANSLATE(B116, ""en"", ""pt"")"),"O armazenamento está vazio.")</f>
        <v>O armazenamento está vazio.</v>
      </c>
      <c r="H116" s="24" t="str">
        <f>IFERROR(__xludf.DUMMYFUNCTION("GOOGLETRANSLATE(B116, ""en"", ""de"")"),"Speicher ist leer.")</f>
        <v>Speicher ist leer.</v>
      </c>
      <c r="I116" s="23" t="str">
        <f>IFERROR(__xludf.DUMMYFUNCTION("GOOGLETRANSLATE(B116, ""en"", ""pl"")"),"Przechowywanie jest puste.")</f>
        <v>Przechowywanie jest puste.</v>
      </c>
      <c r="J116" s="25" t="str">
        <f>IFERROR(__xludf.DUMMYFUNCTION("GOOGLETRANSLATE(B116, ""en"", ""zh"")"),"存储为空。")</f>
        <v>存储为空。</v>
      </c>
      <c r="K116" s="25" t="str">
        <f>IFERROR(__xludf.DUMMYFUNCTION("GOOGLETRANSLATE(B116, ""en"", ""vi"")"),"Lưu trữ trống rỗng.")</f>
        <v>Lưu trữ trống rỗng.</v>
      </c>
      <c r="L116" s="23" t="str">
        <f>IFERROR(__xludf.DUMMYFUNCTION("GOOGLETRANSLATE(B116, ""en"", ""hr"")"),"Skladištenje je prazno.")</f>
        <v>Skladištenje je prazno.</v>
      </c>
      <c r="M116" s="23"/>
      <c r="N116" s="26"/>
      <c r="O116" s="26"/>
      <c r="P116" s="26"/>
      <c r="Q116" s="26"/>
      <c r="R116" s="26"/>
      <c r="S116" s="26"/>
      <c r="T116" s="26"/>
      <c r="U116" s="26"/>
      <c r="V116" s="26"/>
      <c r="W116" s="26"/>
      <c r="X116" s="26"/>
      <c r="Y116" s="26"/>
      <c r="Z116" s="26"/>
      <c r="AA116" s="26"/>
      <c r="AB116" s="26"/>
    </row>
    <row r="117">
      <c r="A117" s="21" t="s">
        <v>305</v>
      </c>
      <c r="B117" s="22" t="s">
        <v>305</v>
      </c>
      <c r="C117" s="23" t="s">
        <v>306</v>
      </c>
      <c r="D117" s="23" t="str">
        <f>IFERROR(__xludf.DUMMYFUNCTION("GOOGLETRANSLATE(B117, ""en"", ""es"")"),"Depósito")</f>
        <v>Depósito</v>
      </c>
      <c r="E117" s="23" t="str">
        <f>IFERROR(__xludf.DUMMYFUNCTION("GOOGLETRANSLATE(B117, ""en"", ""ru"")"),"Депозитный")</f>
        <v>Депозитный</v>
      </c>
      <c r="F117" s="23" t="str">
        <f>IFERROR(__xludf.DUMMYFUNCTION("GOOGLETRANSLATE(B117, ""en"", ""tr"")"),"Depozito")</f>
        <v>Depozito</v>
      </c>
      <c r="G117" s="23" t="str">
        <f>IFERROR(__xludf.DUMMYFUNCTION("GOOGLETRANSLATE(B117, ""en"", ""pt"")"),"Depósito")</f>
        <v>Depósito</v>
      </c>
      <c r="H117" s="24" t="str">
        <f>IFERROR(__xludf.DUMMYFUNCTION("GOOGLETRANSLATE(B117, ""en"", ""de"")"),"Kaution")</f>
        <v>Kaution</v>
      </c>
      <c r="I117" s="23" t="str">
        <f>IFERROR(__xludf.DUMMYFUNCTION("GOOGLETRANSLATE(B117, ""en"", ""pl"")"),"Kaucja")</f>
        <v>Kaucja</v>
      </c>
      <c r="J117" s="25" t="str">
        <f>IFERROR(__xludf.DUMMYFUNCTION("GOOGLETRANSLATE(B117, ""en"", ""zh"")"),"订金")</f>
        <v>订金</v>
      </c>
      <c r="K117" s="25" t="str">
        <f>IFERROR(__xludf.DUMMYFUNCTION("GOOGLETRANSLATE(B117, ""en"", ""vi"")"),"Tiền gửi")</f>
        <v>Tiền gửi</v>
      </c>
      <c r="L117" s="23" t="str">
        <f>IFERROR(__xludf.DUMMYFUNCTION("GOOGLETRANSLATE(B117, ""en"", ""hr"")"),"Depozit")</f>
        <v>Depozit</v>
      </c>
      <c r="M117" s="23"/>
      <c r="N117" s="26"/>
      <c r="O117" s="26"/>
      <c r="P117" s="26"/>
      <c r="Q117" s="26"/>
      <c r="R117" s="26"/>
      <c r="S117" s="26"/>
      <c r="T117" s="26"/>
      <c r="U117" s="26"/>
      <c r="V117" s="26"/>
      <c r="W117" s="26"/>
      <c r="X117" s="26"/>
      <c r="Y117" s="26"/>
      <c r="Z117" s="26"/>
      <c r="AA117" s="26"/>
      <c r="AB117" s="26"/>
    </row>
    <row r="118">
      <c r="A118" s="21" t="s">
        <v>307</v>
      </c>
      <c r="B118" s="22" t="s">
        <v>288</v>
      </c>
      <c r="C118" s="23" t="str">
        <f>IFERROR(__xludf.DUMMYFUNCTION("GOOGLETRANSLATE(B118, ""en"", ""fr"")"),"Déposer tout")</f>
        <v>Déposer tout</v>
      </c>
      <c r="D118" s="23" t="str">
        <f>IFERROR(__xludf.DUMMYFUNCTION("GOOGLETRANSLATE(B118, ""en"", ""es"")"),"Depositar todo")</f>
        <v>Depositar todo</v>
      </c>
      <c r="E118" s="23" t="str">
        <f>IFERROR(__xludf.DUMMYFUNCTION("GOOGLETRANSLATE(B118, ""en"", ""ru"")"),"Депозит все")</f>
        <v>Депозит все</v>
      </c>
      <c r="F118" s="23" t="str">
        <f>IFERROR(__xludf.DUMMYFUNCTION("GOOGLETRANSLATE(B118, ""en"", ""tr"")"),"Hepsini yatırın")</f>
        <v>Hepsini yatırın</v>
      </c>
      <c r="G118" s="23" t="str">
        <f>IFERROR(__xludf.DUMMYFUNCTION("GOOGLETRANSLATE(B118, ""en"", ""pt"")"),"Depositar tudo")</f>
        <v>Depositar tudo</v>
      </c>
      <c r="H118" s="24" t="str">
        <f>IFERROR(__xludf.DUMMYFUNCTION("GOOGLETRANSLATE(B118, ""en"", ""de"")"),"Alle hinterlegen")</f>
        <v>Alle hinterlegen</v>
      </c>
      <c r="I118" s="23" t="str">
        <f>IFERROR(__xludf.DUMMYFUNCTION("GOOGLETRANSLATE(B118, ""en"", ""pl"")"),"Zdeponuj wszystko")</f>
        <v>Zdeponuj wszystko</v>
      </c>
      <c r="J118" s="25" t="str">
        <f>IFERROR(__xludf.DUMMYFUNCTION("GOOGLETRANSLATE(B118, ""en"", ""zh"")"),"存入全部")</f>
        <v>存入全部</v>
      </c>
      <c r="K118" s="25" t="str">
        <f>IFERROR(__xludf.DUMMYFUNCTION("GOOGLETRANSLATE(B118, ""en"", ""vi"")"),"Gửi tất cả")</f>
        <v>Gửi tất cả</v>
      </c>
      <c r="L118" s="23" t="str">
        <f>IFERROR(__xludf.DUMMYFUNCTION("GOOGLETRANSLATE(B118, ""en"", ""hr"")"),"Položite sve")</f>
        <v>Položite sve</v>
      </c>
      <c r="M118" s="23"/>
      <c r="N118" s="26"/>
      <c r="O118" s="26"/>
      <c r="P118" s="26"/>
      <c r="Q118" s="26"/>
      <c r="R118" s="26"/>
      <c r="S118" s="26"/>
      <c r="T118" s="26"/>
      <c r="U118" s="26"/>
      <c r="V118" s="26"/>
      <c r="W118" s="26"/>
      <c r="X118" s="26"/>
      <c r="Y118" s="26"/>
      <c r="Z118" s="26"/>
      <c r="AA118" s="26"/>
      <c r="AB118" s="26"/>
    </row>
    <row r="119">
      <c r="A119" s="21" t="s">
        <v>308</v>
      </c>
      <c r="B119" s="22" t="s">
        <v>308</v>
      </c>
      <c r="C119" s="23" t="str">
        <f>IFERROR(__xludf.DUMMYFUNCTION("GOOGLETRANSLATE(B119, ""en"", ""fr"")"),"Se désister")</f>
        <v>Se désister</v>
      </c>
      <c r="D119" s="23" t="str">
        <f>IFERROR(__xludf.DUMMYFUNCTION("GOOGLETRANSLATE(B119, ""en"", ""es"")"),"Retirar")</f>
        <v>Retirar</v>
      </c>
      <c r="E119" s="23" t="str">
        <f>IFERROR(__xludf.DUMMYFUNCTION("GOOGLETRANSLATE(B119, ""en"", ""ru"")"),"Отзывать")</f>
        <v>Отзывать</v>
      </c>
      <c r="F119" s="23" t="str">
        <f>IFERROR(__xludf.DUMMYFUNCTION("GOOGLETRANSLATE(B119, ""en"", ""tr"")"),"Geri çekilmek")</f>
        <v>Geri çekilmek</v>
      </c>
      <c r="G119" s="23" t="str">
        <f>IFERROR(__xludf.DUMMYFUNCTION("GOOGLETRANSLATE(B119, ""en"", ""pt"")"),"Retirar")</f>
        <v>Retirar</v>
      </c>
      <c r="H119" s="24" t="str">
        <f>IFERROR(__xludf.DUMMYFUNCTION("GOOGLETRANSLATE(B119, ""en"", ""de"")"),"Abheben")</f>
        <v>Abheben</v>
      </c>
      <c r="I119" s="23" t="str">
        <f>IFERROR(__xludf.DUMMYFUNCTION("GOOGLETRANSLATE(B119, ""en"", ""pl"")"),"Wycofać")</f>
        <v>Wycofać</v>
      </c>
      <c r="J119" s="25" t="str">
        <f>IFERROR(__xludf.DUMMYFUNCTION("GOOGLETRANSLATE(B119, ""en"", ""zh"")"),"提取")</f>
        <v>提取</v>
      </c>
      <c r="K119" s="25" t="str">
        <f>IFERROR(__xludf.DUMMYFUNCTION("GOOGLETRANSLATE(B119, ""en"", ""vi"")"),"Rút")</f>
        <v>Rút</v>
      </c>
      <c r="L119" s="23" t="str">
        <f>IFERROR(__xludf.DUMMYFUNCTION("GOOGLETRANSLATE(B119, ""en"", ""hr"")"),"Povući")</f>
        <v>Povući</v>
      </c>
      <c r="M119" s="23"/>
      <c r="N119" s="26"/>
      <c r="O119" s="26"/>
      <c r="P119" s="26"/>
      <c r="Q119" s="26"/>
      <c r="R119" s="26"/>
      <c r="S119" s="26"/>
      <c r="T119" s="26"/>
      <c r="U119" s="26"/>
      <c r="V119" s="26"/>
      <c r="W119" s="26"/>
      <c r="X119" s="26"/>
      <c r="Y119" s="26"/>
      <c r="Z119" s="26"/>
      <c r="AA119" s="26"/>
      <c r="AB119" s="26"/>
    </row>
    <row r="120">
      <c r="A120" s="21" t="s">
        <v>309</v>
      </c>
      <c r="B120" s="22" t="s">
        <v>310</v>
      </c>
      <c r="C120" s="23" t="s">
        <v>311</v>
      </c>
      <c r="D120" s="23" t="str">
        <f>IFERROR(__xludf.DUMMYFUNCTION("GOOGLETRANSLATE(B120, ""en"", ""es"")"),"Retirar todo")</f>
        <v>Retirar todo</v>
      </c>
      <c r="E120" s="23" t="str">
        <f>IFERROR(__xludf.DUMMYFUNCTION("GOOGLETRANSLATE(B120, ""en"", ""ru"")"),"Вывести все")</f>
        <v>Вывести все</v>
      </c>
      <c r="F120" s="23" t="str">
        <f>IFERROR(__xludf.DUMMYFUNCTION("GOOGLETRANSLATE(B120, ""en"", ""tr"")"),"Hepsini geri çek")</f>
        <v>Hepsini geri çek</v>
      </c>
      <c r="G120" s="23" t="str">
        <f>IFERROR(__xludf.DUMMYFUNCTION("GOOGLETRANSLATE(B120, ""en"", ""pt"")"),"Retirar tudo")</f>
        <v>Retirar tudo</v>
      </c>
      <c r="H120" s="24" t="str">
        <f>IFERROR(__xludf.DUMMYFUNCTION("GOOGLETRANSLATE(B120, ""en"", ""de"")"),"Alle zurückziehen")</f>
        <v>Alle zurückziehen</v>
      </c>
      <c r="I120" s="23" t="str">
        <f>IFERROR(__xludf.DUMMYFUNCTION("GOOGLETRANSLATE(B120, ""en"", ""pl"")"),"Wycofaj wszystko")</f>
        <v>Wycofaj wszystko</v>
      </c>
      <c r="J120" s="25" t="str">
        <f>IFERROR(__xludf.DUMMYFUNCTION("GOOGLETRANSLATE(B120, ""en"", ""zh"")"),"撤回全部")</f>
        <v>撤回全部</v>
      </c>
      <c r="K120" s="25" t="str">
        <f>IFERROR(__xludf.DUMMYFUNCTION("GOOGLETRANSLATE(B120, ""en"", ""vi"")"),"Rút tất cả")</f>
        <v>Rút tất cả</v>
      </c>
      <c r="L120" s="23" t="str">
        <f>IFERROR(__xludf.DUMMYFUNCTION("GOOGLETRANSLATE(B120, ""en"", ""hr"")"),"Povući sve")</f>
        <v>Povući sve</v>
      </c>
      <c r="M120" s="23"/>
      <c r="N120" s="26"/>
      <c r="O120" s="26"/>
      <c r="P120" s="26"/>
      <c r="Q120" s="26"/>
      <c r="R120" s="26"/>
      <c r="S120" s="26"/>
      <c r="T120" s="26"/>
      <c r="U120" s="26"/>
      <c r="V120" s="26"/>
      <c r="W120" s="26"/>
      <c r="X120" s="26"/>
      <c r="Y120" s="26"/>
      <c r="Z120" s="26"/>
      <c r="AA120" s="26"/>
      <c r="AB120" s="26"/>
    </row>
    <row r="121">
      <c r="A121" s="21" t="s">
        <v>312</v>
      </c>
      <c r="B121" s="22" t="s">
        <v>312</v>
      </c>
      <c r="C121" s="23" t="str">
        <f>IFERROR(__xludf.DUMMYFUNCTION("GOOGLETRANSLATE(B121, ""en"", ""fr"")"),"Pas assez d'espace libre")</f>
        <v>Pas assez d'espace libre</v>
      </c>
      <c r="D121" s="23" t="str">
        <f>IFERROR(__xludf.DUMMYFUNCTION("GOOGLETRANSLATE(B121, ""en"", ""es"")"),"No hay suficiente espacio libre")</f>
        <v>No hay suficiente espacio libre</v>
      </c>
      <c r="E121" s="23" t="str">
        <f>IFERROR(__xludf.DUMMYFUNCTION("GOOGLETRANSLATE(B121, ""en"", ""ru"")"),"Недостаточно свободного места")</f>
        <v>Недостаточно свободного места</v>
      </c>
      <c r="F121" s="23" t="str">
        <f>IFERROR(__xludf.DUMMYFUNCTION("GOOGLETRANSLATE(B121, ""en"", ""tr"")"),"Yeterince boş alan yok")</f>
        <v>Yeterince boş alan yok</v>
      </c>
      <c r="G121" s="23" t="str">
        <f>IFERROR(__xludf.DUMMYFUNCTION("GOOGLETRANSLATE(B121, ""en"", ""pt"")"),"Não há espaço livre suficiente")</f>
        <v>Não há espaço livre suficiente</v>
      </c>
      <c r="H121" s="24" t="str">
        <f>IFERROR(__xludf.DUMMYFUNCTION("GOOGLETRANSLATE(B121, ""en"", ""de"")"),"Nicht genügend freier Speicherplatz")</f>
        <v>Nicht genügend freier Speicherplatz</v>
      </c>
      <c r="I121" s="23" t="str">
        <f>IFERROR(__xludf.DUMMYFUNCTION("GOOGLETRANSLATE(B121, ""en"", ""pl"")"),"Za mało wolnej przestrzeni")</f>
        <v>Za mało wolnej przestrzeni</v>
      </c>
      <c r="J121" s="25" t="str">
        <f>IFERROR(__xludf.DUMMYFUNCTION("GOOGLETRANSLATE(B121, ""en"", ""zh"")"),"没有足够的自由空间")</f>
        <v>没有足够的自由空间</v>
      </c>
      <c r="K121" s="25" t="str">
        <f>IFERROR(__xludf.DUMMYFUNCTION("GOOGLETRANSLATE(B121, ""en"", ""vi"")"),"Không đủ chỗ trống")</f>
        <v>Không đủ chỗ trống</v>
      </c>
      <c r="L121" s="23" t="str">
        <f>IFERROR(__xludf.DUMMYFUNCTION("GOOGLETRANSLATE(B121, ""en"", ""hr"")"),"Nema dovoljno slobodnog prostora")</f>
        <v>Nema dovoljno slobodnog prostora</v>
      </c>
      <c r="M121" s="23"/>
      <c r="N121" s="26"/>
      <c r="O121" s="26"/>
      <c r="P121" s="26"/>
      <c r="Q121" s="26"/>
      <c r="R121" s="26"/>
      <c r="S121" s="26"/>
      <c r="T121" s="26"/>
      <c r="U121" s="26"/>
      <c r="V121" s="26"/>
      <c r="W121" s="26"/>
      <c r="X121" s="26"/>
      <c r="Y121" s="26"/>
      <c r="Z121" s="26"/>
      <c r="AA121" s="26"/>
      <c r="AB121" s="26"/>
    </row>
    <row r="122">
      <c r="A122" s="21" t="s">
        <v>313</v>
      </c>
      <c r="B122" s="22" t="s">
        <v>194</v>
      </c>
      <c r="C122" s="23" t="str">
        <f>IFERROR(__xludf.DUMMYFUNCTION("GOOGLETRANSLATE(B122, ""en"", ""fr"")"),"Inventaire")</f>
        <v>Inventaire</v>
      </c>
      <c r="D122" s="23" t="str">
        <f>IFERROR(__xludf.DUMMYFUNCTION("GOOGLETRANSLATE(B122, ""en"", ""es"")"),"Inventario")</f>
        <v>Inventario</v>
      </c>
      <c r="E122" s="23" t="str">
        <f>IFERROR(__xludf.DUMMYFUNCTION("GOOGLETRANSLATE(B122, ""en"", ""ru"")"),"Инвентарь")</f>
        <v>Инвентарь</v>
      </c>
      <c r="F122" s="23" t="str">
        <f>IFERROR(__xludf.DUMMYFUNCTION("GOOGLETRANSLATE(B122, ""en"", ""tr"")"),"Envanter")</f>
        <v>Envanter</v>
      </c>
      <c r="G122" s="23" t="str">
        <f>IFERROR(__xludf.DUMMYFUNCTION("GOOGLETRANSLATE(B122, ""en"", ""pt"")"),"Inventário")</f>
        <v>Inventário</v>
      </c>
      <c r="H122" s="24" t="str">
        <f>IFERROR(__xludf.DUMMYFUNCTION("GOOGLETRANSLATE(B122, ""en"", ""de"")"),"Inventar")</f>
        <v>Inventar</v>
      </c>
      <c r="I122" s="23" t="str">
        <f>IFERROR(__xludf.DUMMYFUNCTION("GOOGLETRANSLATE(B122, ""en"", ""pl"")"),"Spis")</f>
        <v>Spis</v>
      </c>
      <c r="J122" s="25" t="str">
        <f>IFERROR(__xludf.DUMMYFUNCTION("GOOGLETRANSLATE(B122, ""en"", ""zh"")"),"存货")</f>
        <v>存货</v>
      </c>
      <c r="K122" s="25" t="str">
        <f>IFERROR(__xludf.DUMMYFUNCTION("GOOGLETRANSLATE(B122, ""en"", ""vi"")"),"Hàng tồn kho")</f>
        <v>Hàng tồn kho</v>
      </c>
      <c r="L122" s="23" t="str">
        <f>IFERROR(__xludf.DUMMYFUNCTION("GOOGLETRANSLATE(B122, ""en"", ""hr"")"),"Inventar")</f>
        <v>Inventar</v>
      </c>
      <c r="M122" s="23"/>
      <c r="N122" s="26"/>
      <c r="O122" s="26"/>
      <c r="P122" s="26"/>
      <c r="Q122" s="26"/>
      <c r="R122" s="26"/>
      <c r="S122" s="26"/>
      <c r="T122" s="26"/>
      <c r="U122" s="26"/>
      <c r="V122" s="26"/>
      <c r="W122" s="26"/>
      <c r="X122" s="26"/>
      <c r="Y122" s="26"/>
      <c r="Z122" s="26"/>
      <c r="AA122" s="26"/>
      <c r="AB122" s="26"/>
    </row>
    <row r="123">
      <c r="A123" s="21" t="s">
        <v>314</v>
      </c>
      <c r="B123" s="22" t="s">
        <v>315</v>
      </c>
      <c r="C123" s="23" t="str">
        <f>IFERROR(__xludf.DUMMYFUNCTION("GOOGLETRANSLATE(B123, ""en"", ""fr"")"),"Poids total de l'inventaire")</f>
        <v>Poids total de l'inventaire</v>
      </c>
      <c r="D123" s="23" t="str">
        <f>IFERROR(__xludf.DUMMYFUNCTION("GOOGLETRANSLATE(B123, ""en"", ""es"")"),"Peso de inventario total")</f>
        <v>Peso de inventario total</v>
      </c>
      <c r="E123" s="23" t="str">
        <f>IFERROR(__xludf.DUMMYFUNCTION("GOOGLETRANSLATE(B123, ""en"", ""ru"")"),"Общий вес инвентаря")</f>
        <v>Общий вес инвентаря</v>
      </c>
      <c r="F123" s="23" t="str">
        <f>IFERROR(__xludf.DUMMYFUNCTION("GOOGLETRANSLATE(B123, ""en"", ""tr"")"),"Toplam envanter ağırlığı")</f>
        <v>Toplam envanter ağırlığı</v>
      </c>
      <c r="G123" s="23" t="str">
        <f>IFERROR(__xludf.DUMMYFUNCTION("GOOGLETRANSLATE(B123, ""en"", ""pt"")"),"Peso total do inventário")</f>
        <v>Peso total do inventário</v>
      </c>
      <c r="H123" s="24" t="str">
        <f>IFERROR(__xludf.DUMMYFUNCTION("GOOGLETRANSLATE(B123, ""en"", ""de"")"),"Gesamtbestandgewicht")</f>
        <v>Gesamtbestandgewicht</v>
      </c>
      <c r="I123" s="23" t="str">
        <f>IFERROR(__xludf.DUMMYFUNCTION("GOOGLETRANSLATE(B123, ""en"", ""pl"")"),"Całkowita waga zapasów")</f>
        <v>Całkowita waga zapasów</v>
      </c>
      <c r="J123" s="25" t="str">
        <f>IFERROR(__xludf.DUMMYFUNCTION("GOOGLETRANSLATE(B123, ""en"", ""zh"")"),"总库存重量")</f>
        <v>总库存重量</v>
      </c>
      <c r="K123" s="25" t="str">
        <f>IFERROR(__xludf.DUMMYFUNCTION("GOOGLETRANSLATE(B123, ""en"", ""vi"")"),"Tổng trọng lượng hàng tồn kho")</f>
        <v>Tổng trọng lượng hàng tồn kho</v>
      </c>
      <c r="L123" s="23" t="str">
        <f>IFERROR(__xludf.DUMMYFUNCTION("GOOGLETRANSLATE(B123, ""en"", ""hr"")"),"Ukupna težina zaliha")</f>
        <v>Ukupna težina zaliha</v>
      </c>
      <c r="M123" s="23"/>
      <c r="N123" s="26"/>
      <c r="O123" s="26"/>
      <c r="P123" s="26"/>
      <c r="Q123" s="26"/>
      <c r="R123" s="26"/>
      <c r="S123" s="26"/>
      <c r="T123" s="26"/>
      <c r="U123" s="26"/>
      <c r="V123" s="26"/>
      <c r="W123" s="26"/>
      <c r="X123" s="26"/>
      <c r="Y123" s="26"/>
      <c r="Z123" s="26"/>
      <c r="AA123" s="26"/>
      <c r="AB123" s="26"/>
    </row>
    <row r="124">
      <c r="A124" s="21" t="s">
        <v>316</v>
      </c>
      <c r="B124" s="22" t="s">
        <v>317</v>
      </c>
      <c r="C124" s="23" t="str">
        <f>IFERROR(__xludf.DUMMYFUNCTION("GOOGLETRANSLATE(B124, ""en"", ""fr"")"),"Chercher")</f>
        <v>Chercher</v>
      </c>
      <c r="D124" s="23" t="str">
        <f>IFERROR(__xludf.DUMMYFUNCTION("GOOGLETRANSLATE(B124, ""en"", ""es"")"),"Búsqueda")</f>
        <v>Búsqueda</v>
      </c>
      <c r="E124" s="23" t="str">
        <f>IFERROR(__xludf.DUMMYFUNCTION("GOOGLETRANSLATE(B124, ""en"", ""ru"")"),"Поиск")</f>
        <v>Поиск</v>
      </c>
      <c r="F124" s="23" t="str">
        <f>IFERROR(__xludf.DUMMYFUNCTION("GOOGLETRANSLATE(B124, ""en"", ""tr"")"),"Arama")</f>
        <v>Arama</v>
      </c>
      <c r="G124" s="23" t="str">
        <f>IFERROR(__xludf.DUMMYFUNCTION("GOOGLETRANSLATE(B124, ""en"", ""pt"")"),"Procurar")</f>
        <v>Procurar</v>
      </c>
      <c r="H124" s="24" t="str">
        <f>IFERROR(__xludf.DUMMYFUNCTION("GOOGLETRANSLATE(B124, ""en"", ""de"")"),"Suche")</f>
        <v>Suche</v>
      </c>
      <c r="I124" s="23" t="str">
        <f>IFERROR(__xludf.DUMMYFUNCTION("GOOGLETRANSLATE(B124, ""en"", ""pl"")"),"Szukaj")</f>
        <v>Szukaj</v>
      </c>
      <c r="J124" s="25" t="str">
        <f>IFERROR(__xludf.DUMMYFUNCTION("GOOGLETRANSLATE(B124, ""en"", ""zh"")"),"搜索")</f>
        <v>搜索</v>
      </c>
      <c r="K124" s="25" t="str">
        <f>IFERROR(__xludf.DUMMYFUNCTION("GOOGLETRANSLATE(B124, ""en"", ""vi"")"),"Tìm kiếm")</f>
        <v>Tìm kiếm</v>
      </c>
      <c r="L124" s="23" t="str">
        <f>IFERROR(__xludf.DUMMYFUNCTION("GOOGLETRANSLATE(B124, ""en"", ""hr"")"),"traži")</f>
        <v>traži</v>
      </c>
      <c r="M124" s="23"/>
      <c r="N124" s="26"/>
      <c r="O124" s="26"/>
      <c r="P124" s="26"/>
      <c r="Q124" s="26"/>
      <c r="R124" s="26"/>
      <c r="S124" s="26"/>
      <c r="T124" s="26"/>
      <c r="U124" s="26"/>
      <c r="V124" s="26"/>
      <c r="W124" s="26"/>
      <c r="X124" s="26"/>
      <c r="Y124" s="26"/>
      <c r="Z124" s="26"/>
      <c r="AA124" s="26"/>
      <c r="AB124" s="26"/>
    </row>
    <row r="125">
      <c r="A125" s="21" t="s">
        <v>318</v>
      </c>
      <c r="B125" s="22" t="s">
        <v>319</v>
      </c>
      <c r="C125" s="23" t="str">
        <f>IFERROR(__xludf.DUMMYFUNCTION("GOOGLETRANSLATE(B125, ""en"", ""fr"")"),"L'inventaire est vide.")</f>
        <v>L'inventaire est vide.</v>
      </c>
      <c r="D125" s="23" t="str">
        <f>IFERROR(__xludf.DUMMYFUNCTION("GOOGLETRANSLATE(B125, ""en"", ""es"")"),"El inventario está vacío.")</f>
        <v>El inventario está vacío.</v>
      </c>
      <c r="E125" s="23" t="str">
        <f>IFERROR(__xludf.DUMMYFUNCTION("GOOGLETRANSLATE(B125, ""en"", ""ru"")"),"Инвентарь пуст.")</f>
        <v>Инвентарь пуст.</v>
      </c>
      <c r="F125" s="23" t="str">
        <f>IFERROR(__xludf.DUMMYFUNCTION("GOOGLETRANSLATE(B125, ""en"", ""tr"")"),"Envanter boş.")</f>
        <v>Envanter boş.</v>
      </c>
      <c r="G125" s="23" t="str">
        <f>IFERROR(__xludf.DUMMYFUNCTION("GOOGLETRANSLATE(B125, ""en"", ""pt"")"),"O inventário está vazio.")</f>
        <v>O inventário está vazio.</v>
      </c>
      <c r="H125" s="24" t="str">
        <f>IFERROR(__xludf.DUMMYFUNCTION("GOOGLETRANSLATE(B125, ""en"", ""de"")"),"Inventar ist leer.")</f>
        <v>Inventar ist leer.</v>
      </c>
      <c r="I125" s="23" t="str">
        <f>IFERROR(__xludf.DUMMYFUNCTION("GOOGLETRANSLATE(B125, ""en"", ""pl"")"),"Inwentarz jest pusty.")</f>
        <v>Inwentarz jest pusty.</v>
      </c>
      <c r="J125" s="25" t="str">
        <f>IFERROR(__xludf.DUMMYFUNCTION("GOOGLETRANSLATE(B125, ""en"", ""zh"")"),"库存是空的。")</f>
        <v>库存是空的。</v>
      </c>
      <c r="K125" s="25" t="str">
        <f>IFERROR(__xludf.DUMMYFUNCTION("GOOGLETRANSLATE(B125, ""en"", ""vi"")"),"Hàng tồn kho trống rỗng.")</f>
        <v>Hàng tồn kho trống rỗng.</v>
      </c>
      <c r="L125" s="23" t="str">
        <f>IFERROR(__xludf.DUMMYFUNCTION("GOOGLETRANSLATE(B125, ""en"", ""hr"")"),"Inventar je prazan.")</f>
        <v>Inventar je prazan.</v>
      </c>
      <c r="M125" s="23"/>
      <c r="N125" s="26"/>
      <c r="O125" s="26"/>
      <c r="P125" s="26"/>
      <c r="Q125" s="26"/>
      <c r="R125" s="26"/>
      <c r="S125" s="26"/>
      <c r="T125" s="26"/>
      <c r="U125" s="26"/>
      <c r="V125" s="26"/>
      <c r="W125" s="26"/>
      <c r="X125" s="26"/>
      <c r="Y125" s="26"/>
      <c r="Z125" s="26"/>
      <c r="AA125" s="26"/>
      <c r="AB125" s="26"/>
    </row>
    <row r="126">
      <c r="A126" s="21" t="s">
        <v>320</v>
      </c>
      <c r="B126" s="22" t="s">
        <v>320</v>
      </c>
      <c r="C126" s="23" t="s">
        <v>321</v>
      </c>
      <c r="D126" s="23" t="str">
        <f>IFERROR(__xludf.DUMMYFUNCTION("GOOGLETRANSLATE(B126, ""en"", ""es"")"),"Retirar de la barra caliente")</f>
        <v>Retirar de la barra caliente</v>
      </c>
      <c r="E126" s="23" t="str">
        <f>IFERROR(__xludf.DUMMYFUNCTION("GOOGLETRANSLATE(B126, ""en"", ""ru"")"),"Удалите из Hotbar")</f>
        <v>Удалите из Hotbar</v>
      </c>
      <c r="F126" s="23" t="str">
        <f>IFERROR(__xludf.DUMMYFUNCTION("GOOGLETRANSLATE(B126, ""en"", ""tr"")"),"Hotbar'dan kaldır")</f>
        <v>Hotbar'dan kaldır</v>
      </c>
      <c r="G126" s="23" t="str">
        <f>IFERROR(__xludf.DUMMYFUNCTION("GOOGLETRANSLATE(B126, ""en"", ""pt"")"),"Retire do hotbar")</f>
        <v>Retire do hotbar</v>
      </c>
      <c r="H126" s="24" t="str">
        <f>IFERROR(__xludf.DUMMYFUNCTION("GOOGLETRANSLATE(B126, ""en"", ""de"")"),"Aus Hotbar nehmen")</f>
        <v>Aus Hotbar nehmen</v>
      </c>
      <c r="I126" s="23" t="str">
        <f>IFERROR(__xludf.DUMMYFUNCTION("GOOGLETRANSLATE(B126, ""en"", ""pl"")"),"Wyjmij z Hotbar")</f>
        <v>Wyjmij z Hotbar</v>
      </c>
      <c r="J126" s="25" t="str">
        <f>IFERROR(__xludf.DUMMYFUNCTION("GOOGLETRANSLATE(B126, ""en"", ""zh"")"),"从Hotbar中取出")</f>
        <v>从Hotbar中取出</v>
      </c>
      <c r="K126" s="25" t="str">
        <f>IFERROR(__xludf.DUMMYFUNCTION("GOOGLETRANSLATE(B126, ""en"", ""vi"")"),"Hủy bỏ từ thanh nóng")</f>
        <v>Hủy bỏ từ thanh nóng</v>
      </c>
      <c r="L126" s="23" t="str">
        <f>IFERROR(__xludf.DUMMYFUNCTION("GOOGLETRANSLATE(B126, ""en"", ""hr"")"),"Uklonite s hotbara")</f>
        <v>Uklonite s hotbara</v>
      </c>
      <c r="M126" s="23"/>
      <c r="N126" s="26"/>
      <c r="O126" s="26"/>
      <c r="P126" s="26"/>
      <c r="Q126" s="26"/>
      <c r="R126" s="26"/>
      <c r="S126" s="26"/>
      <c r="T126" s="26"/>
      <c r="U126" s="26"/>
      <c r="V126" s="26"/>
      <c r="W126" s="26"/>
      <c r="X126" s="26"/>
      <c r="Y126" s="26"/>
      <c r="Z126" s="26"/>
      <c r="AA126" s="26"/>
      <c r="AB126" s="26"/>
    </row>
    <row r="127">
      <c r="A127" s="21" t="s">
        <v>322</v>
      </c>
      <c r="B127" s="22" t="s">
        <v>322</v>
      </c>
      <c r="C127" s="23" t="s">
        <v>323</v>
      </c>
      <c r="D127" s="23" t="str">
        <f>IFERROR(__xludf.DUMMYFUNCTION("GOOGLETRANSLATE(B127, ""en"", ""es"")"),"Hotbar llena")</f>
        <v>Hotbar llena</v>
      </c>
      <c r="E127" s="23" t="str">
        <f>IFERROR(__xludf.DUMMYFUNCTION("GOOGLETRANSLATE(B127, ""en"", ""ru"")"),"Hotbar Full")</f>
        <v>Hotbar Full</v>
      </c>
      <c r="F127" s="23" t="str">
        <f>IFERROR(__xludf.DUMMYFUNCTION("GOOGLETRANSLATE(B127, ""en"", ""tr"")"),"Hotbar Full")</f>
        <v>Hotbar Full</v>
      </c>
      <c r="G127" s="23" t="str">
        <f>IFERROR(__xludf.DUMMYFUNCTION("GOOGLETRANSLATE(B127, ""en"", ""pt"")"),"HotBar cheio")</f>
        <v>HotBar cheio</v>
      </c>
      <c r="H127" s="24" t="str">
        <f>IFERROR(__xludf.DUMMYFUNCTION("GOOGLETRANSLATE(B127, ""en"", ""de"")"),"Hotbar voll")</f>
        <v>Hotbar voll</v>
      </c>
      <c r="I127" s="23" t="str">
        <f>IFERROR(__xludf.DUMMYFUNCTION("GOOGLETRANSLATE(B127, ""en"", ""pl"")"),"Hotbar pełny")</f>
        <v>Hotbar pełny</v>
      </c>
      <c r="J127" s="25" t="str">
        <f>IFERROR(__xludf.DUMMYFUNCTION("GOOGLETRANSLATE(B127, ""en"", ""zh"")"),"Hotbar Full")</f>
        <v>Hotbar Full</v>
      </c>
      <c r="K127" s="25" t="str">
        <f>IFERROR(__xludf.DUMMYFUNCTION("GOOGLETRANSLATE(B127, ""en"", ""vi"")"),"Thanh nóng đầy đủ")</f>
        <v>Thanh nóng đầy đủ</v>
      </c>
      <c r="L127" s="23" t="str">
        <f>IFERROR(__xludf.DUMMYFUNCTION("GOOGLETRANSLATE(B127, ""en"", ""hr"")"),"Hotbar pun")</f>
        <v>Hotbar pun</v>
      </c>
      <c r="M127" s="23"/>
      <c r="N127" s="26"/>
      <c r="O127" s="26"/>
      <c r="P127" s="26"/>
      <c r="Q127" s="26"/>
      <c r="R127" s="26"/>
      <c r="S127" s="26"/>
      <c r="T127" s="26"/>
      <c r="U127" s="26"/>
      <c r="V127" s="26"/>
      <c r="W127" s="26"/>
      <c r="X127" s="26"/>
      <c r="Y127" s="26"/>
      <c r="Z127" s="26"/>
      <c r="AA127" s="26"/>
      <c r="AB127" s="26"/>
    </row>
    <row r="128">
      <c r="A128" s="21" t="s">
        <v>324</v>
      </c>
      <c r="B128" s="22" t="s">
        <v>324</v>
      </c>
      <c r="C128" s="23" t="s">
        <v>325</v>
      </c>
      <c r="D128" s="23" t="str">
        <f>IFERROR(__xludf.DUMMYFUNCTION("GOOGLETRANSLATE(B128, ""en"", ""es"")"),"Agregar a Hotbar")</f>
        <v>Agregar a Hotbar</v>
      </c>
      <c r="E128" s="23" t="str">
        <f>IFERROR(__xludf.DUMMYFUNCTION("GOOGLETRANSLATE(B128, ""en"", ""ru"")"),"Добавить в Hotbar")</f>
        <v>Добавить в Hotbar</v>
      </c>
      <c r="F128" s="23" t="str">
        <f>IFERROR(__xludf.DUMMYFUNCTION("GOOGLETRANSLATE(B128, ""en"", ""tr"")"),"Hotbar'a ekle")</f>
        <v>Hotbar'a ekle</v>
      </c>
      <c r="G128" s="23" t="str">
        <f>IFERROR(__xludf.DUMMYFUNCTION("GOOGLETRANSLATE(B128, ""en"", ""pt"")"),"Adicione ao hotbar")</f>
        <v>Adicione ao hotbar</v>
      </c>
      <c r="H128" s="24" t="str">
        <f>IFERROR(__xludf.DUMMYFUNCTION("GOOGLETRANSLATE(B128, ""en"", ""de"")"),"Zu HotBar hinzufügen")</f>
        <v>Zu HotBar hinzufügen</v>
      </c>
      <c r="I128" s="23" t="str">
        <f>IFERROR(__xludf.DUMMYFUNCTION("GOOGLETRANSLATE(B128, ""en"", ""pl"")"),"Dodaj do Hotbar")</f>
        <v>Dodaj do Hotbar</v>
      </c>
      <c r="J128" s="25" t="str">
        <f>IFERROR(__xludf.DUMMYFUNCTION("GOOGLETRANSLATE(B128, ""en"", ""zh"")"),"添加到热键")</f>
        <v>添加到热键</v>
      </c>
      <c r="K128" s="25" t="str">
        <f>IFERROR(__xludf.DUMMYFUNCTION("GOOGLETRANSLATE(B128, ""en"", ""vi"")"),"Thêm vào Hotbar")</f>
        <v>Thêm vào Hotbar</v>
      </c>
      <c r="L128" s="23" t="str">
        <f>IFERROR(__xludf.DUMMYFUNCTION("GOOGLETRANSLATE(B128, ""en"", ""hr"")"),"Dodaj u hotbar")</f>
        <v>Dodaj u hotbar</v>
      </c>
      <c r="M128" s="23"/>
      <c r="N128" s="26"/>
      <c r="O128" s="26"/>
      <c r="P128" s="26"/>
      <c r="Q128" s="26"/>
      <c r="R128" s="26"/>
      <c r="S128" s="26"/>
      <c r="T128" s="26"/>
      <c r="U128" s="26"/>
      <c r="V128" s="26"/>
      <c r="W128" s="26"/>
      <c r="X128" s="26"/>
      <c r="Y128" s="26"/>
      <c r="Z128" s="26"/>
      <c r="AA128" s="26"/>
      <c r="AB128" s="26"/>
    </row>
    <row r="129">
      <c r="A129" s="21" t="s">
        <v>326</v>
      </c>
      <c r="B129" s="22" t="s">
        <v>326</v>
      </c>
      <c r="C129" s="23" t="s">
        <v>327</v>
      </c>
      <c r="D129" s="23" t="str">
        <f>IFERROR(__xludf.DUMMYFUNCTION("GOOGLETRANSLATE(B129, ""en"", ""es"")"),"Equipamiento rápido")</f>
        <v>Equipamiento rápido</v>
      </c>
      <c r="E129" s="23" t="str">
        <f>IFERROR(__xludf.DUMMYFUNCTION("GOOGLETRANSLATE(B129, ""en"", ""ru"")"),"Быстрое оборудование")</f>
        <v>Быстрое оборудование</v>
      </c>
      <c r="F129" s="23" t="str">
        <f>IFERROR(__xludf.DUMMYFUNCTION("GOOGLETRANSLATE(B129, ""en"", ""tr"")"),"Hızlı donanım")</f>
        <v>Hızlı donanım</v>
      </c>
      <c r="G129" s="23" t="str">
        <f>IFERROR(__xludf.DUMMYFUNCTION("GOOGLETRANSLATE(B129, ""en"", ""pt"")"),"Equipamento rápido")</f>
        <v>Equipamento rápido</v>
      </c>
      <c r="H129" s="24" t="str">
        <f>IFERROR(__xludf.DUMMYFUNCTION("GOOGLETRANSLATE(B129, ""en"", ""de"")"),"Schnelle Ausrüstung")</f>
        <v>Schnelle Ausrüstung</v>
      </c>
      <c r="I129" s="23" t="str">
        <f>IFERROR(__xludf.DUMMYFUNCTION("GOOGLETRANSLATE(B129, ""en"", ""pl"")"),"Szybki wyposażenie")</f>
        <v>Szybki wyposażenie</v>
      </c>
      <c r="J129" s="25" t="str">
        <f>IFERROR(__xludf.DUMMYFUNCTION("GOOGLETRANSLATE(B129, ""en"", ""zh"")"),"快速设备")</f>
        <v>快速设备</v>
      </c>
      <c r="K129" s="25" t="str">
        <f>IFERROR(__xludf.DUMMYFUNCTION("GOOGLETRANSLATE(B129, ""en"", ""vi"")"),"Trang bị nhanh chóng")</f>
        <v>Trang bị nhanh chóng</v>
      </c>
      <c r="L129" s="23" t="str">
        <f>IFERROR(__xludf.DUMMYFUNCTION("GOOGLETRANSLATE(B129, ""en"", ""hr"")"),"Brza oprema")</f>
        <v>Brza oprema</v>
      </c>
      <c r="M129" s="23"/>
      <c r="N129" s="26"/>
      <c r="O129" s="26"/>
      <c r="P129" s="26"/>
      <c r="Q129" s="26"/>
      <c r="R129" s="26"/>
      <c r="S129" s="26"/>
      <c r="T129" s="26"/>
      <c r="U129" s="26"/>
      <c r="V129" s="26"/>
      <c r="W129" s="26"/>
      <c r="X129" s="26"/>
      <c r="Y129" s="26"/>
      <c r="Z129" s="26"/>
      <c r="AA129" s="26"/>
      <c r="AB129" s="26"/>
    </row>
    <row r="130">
      <c r="A130" s="21" t="s">
        <v>328</v>
      </c>
      <c r="B130" s="22" t="s">
        <v>328</v>
      </c>
      <c r="C130" s="23" t="s">
        <v>329</v>
      </c>
      <c r="D130" s="23" t="str">
        <f>IFERROR(__xludf.DUMMYFUNCTION("GOOGLETRANSLATE(B130, ""en"", ""es"")"),"Uso rápido")</f>
        <v>Uso rápido</v>
      </c>
      <c r="E130" s="23" t="str">
        <f>IFERROR(__xludf.DUMMYFUNCTION("GOOGLETRANSLATE(B130, ""en"", ""ru"")"),"Быстрое использование")</f>
        <v>Быстрое использование</v>
      </c>
      <c r="F130" s="23" t="str">
        <f>IFERROR(__xludf.DUMMYFUNCTION("GOOGLETRANSLATE(B130, ""en"", ""tr"")"),"Hızlı Kullanım")</f>
        <v>Hızlı Kullanım</v>
      </c>
      <c r="G130" s="23" t="str">
        <f>IFERROR(__xludf.DUMMYFUNCTION("GOOGLETRANSLATE(B130, ""en"", ""pt"")"),"Uso rápido")</f>
        <v>Uso rápido</v>
      </c>
      <c r="H130" s="24" t="str">
        <f>IFERROR(__xludf.DUMMYFUNCTION("GOOGLETRANSLATE(B130, ""en"", ""de"")"),"Schnelle Verwendung")</f>
        <v>Schnelle Verwendung</v>
      </c>
      <c r="I130" s="23" t="str">
        <f>IFERROR(__xludf.DUMMYFUNCTION("GOOGLETRANSLATE(B130, ""en"", ""pl"")"),"Szybkie użycie")</f>
        <v>Szybkie użycie</v>
      </c>
      <c r="J130" s="25" t="str">
        <f>IFERROR(__xludf.DUMMYFUNCTION("GOOGLETRANSLATE(B130, ""en"", ""zh"")"),"快速使用")</f>
        <v>快速使用</v>
      </c>
      <c r="K130" s="25" t="str">
        <f>IFERROR(__xludf.DUMMYFUNCTION("GOOGLETRANSLATE(B130, ""en"", ""vi"")"),"Sử dụng nhanh chóng")</f>
        <v>Sử dụng nhanh chóng</v>
      </c>
      <c r="L130" s="23" t="str">
        <f>IFERROR(__xludf.DUMMYFUNCTION("GOOGLETRANSLATE(B130, ""en"", ""hr"")"),"Brza upotreba")</f>
        <v>Brza upotreba</v>
      </c>
      <c r="M130" s="23"/>
      <c r="N130" s="26"/>
      <c r="O130" s="26"/>
      <c r="P130" s="26"/>
      <c r="Q130" s="26"/>
      <c r="R130" s="26"/>
      <c r="S130" s="26"/>
      <c r="T130" s="26"/>
      <c r="U130" s="26"/>
      <c r="V130" s="26"/>
      <c r="W130" s="26"/>
      <c r="X130" s="26"/>
      <c r="Y130" s="26"/>
      <c r="Z130" s="26"/>
      <c r="AA130" s="26"/>
      <c r="AB130" s="26"/>
    </row>
    <row r="131">
      <c r="A131" s="21" t="s">
        <v>330</v>
      </c>
      <c r="B131" s="22" t="s">
        <v>330</v>
      </c>
      <c r="C131" s="23" t="s">
        <v>306</v>
      </c>
      <c r="D131" s="23" t="str">
        <f>IFERROR(__xludf.DUMMYFUNCTION("GOOGLETRANSLATE(B131, ""en"", ""es"")"),"Soltar")</f>
        <v>Soltar</v>
      </c>
      <c r="E131" s="23" t="str">
        <f>IFERROR(__xludf.DUMMYFUNCTION("GOOGLETRANSLATE(B131, ""en"", ""ru"")"),"Уронить")</f>
        <v>Уронить</v>
      </c>
      <c r="F131" s="23" t="str">
        <f>IFERROR(__xludf.DUMMYFUNCTION("GOOGLETRANSLATE(B131, ""en"", ""tr"")"),"Düşürmek")</f>
        <v>Düşürmek</v>
      </c>
      <c r="G131" s="23" t="str">
        <f>IFERROR(__xludf.DUMMYFUNCTION("GOOGLETRANSLATE(B131, ""en"", ""pt"")"),"Derrubar")</f>
        <v>Derrubar</v>
      </c>
      <c r="H131" s="24" t="str">
        <f>IFERROR(__xludf.DUMMYFUNCTION("GOOGLETRANSLATE(B131, ""en"", ""de"")"),"Fallen")</f>
        <v>Fallen</v>
      </c>
      <c r="I131" s="23" t="str">
        <f>IFERROR(__xludf.DUMMYFUNCTION("GOOGLETRANSLATE(B131, ""en"", ""pl"")"),"Upuszczać")</f>
        <v>Upuszczać</v>
      </c>
      <c r="J131" s="25" t="str">
        <f>IFERROR(__xludf.DUMMYFUNCTION("GOOGLETRANSLATE(B131, ""en"", ""zh"")"),"降低")</f>
        <v>降低</v>
      </c>
      <c r="K131" s="25" t="str">
        <f>IFERROR(__xludf.DUMMYFUNCTION("GOOGLETRANSLATE(B131, ""en"", ""vi"")"),"Làm rơi")</f>
        <v>Làm rơi</v>
      </c>
      <c r="L131" s="23" t="str">
        <f>IFERROR(__xludf.DUMMYFUNCTION("GOOGLETRANSLATE(B131, ""en"", ""hr"")"),"Pad")</f>
        <v>Pad</v>
      </c>
      <c r="M131" s="23"/>
      <c r="N131" s="26"/>
      <c r="O131" s="26"/>
      <c r="P131" s="26"/>
      <c r="Q131" s="26"/>
      <c r="R131" s="26"/>
      <c r="S131" s="26"/>
      <c r="T131" s="26"/>
      <c r="U131" s="26"/>
      <c r="V131" s="26"/>
      <c r="W131" s="26"/>
      <c r="X131" s="26"/>
      <c r="Y131" s="26"/>
      <c r="Z131" s="26"/>
      <c r="AA131" s="26"/>
      <c r="AB131" s="26"/>
    </row>
    <row r="132">
      <c r="A132" s="21" t="s">
        <v>331</v>
      </c>
      <c r="B132" s="22" t="s">
        <v>332</v>
      </c>
      <c r="C132" s="23" t="s">
        <v>333</v>
      </c>
      <c r="D132" s="23" t="str">
        <f>IFERROR(__xludf.DUMMYFUNCTION("GOOGLETRANSLATE(B132, ""en"", ""es"")"),"Dejar todo")</f>
        <v>Dejar todo</v>
      </c>
      <c r="E132" s="23" t="str">
        <f>IFERROR(__xludf.DUMMYFUNCTION("GOOGLETRANSLATE(B132, ""en"", ""ru"")"),"Бросить все")</f>
        <v>Бросить все</v>
      </c>
      <c r="F132" s="23" t="str">
        <f>IFERROR(__xludf.DUMMYFUNCTION("GOOGLETRANSLATE(B132, ""en"", ""tr"")"),"Hepsini bırak")</f>
        <v>Hepsini bırak</v>
      </c>
      <c r="G132" s="23" t="str">
        <f>IFERROR(__xludf.DUMMYFUNCTION("GOOGLETRANSLATE(B132, ""en"", ""pt"")"),"Solte tudo")</f>
        <v>Solte tudo</v>
      </c>
      <c r="H132" s="24" t="str">
        <f>IFERROR(__xludf.DUMMYFUNCTION("GOOGLETRANSLATE(B132, ""en"", ""de"")"),"Lass alles fallen")</f>
        <v>Lass alles fallen</v>
      </c>
      <c r="I132" s="23" t="str">
        <f>IFERROR(__xludf.DUMMYFUNCTION("GOOGLETRANSLATE(B132, ""en"", ""pl"")"),"Upuść wszystko")</f>
        <v>Upuść wszystko</v>
      </c>
      <c r="J132" s="25" t="str">
        <f>IFERROR(__xludf.DUMMYFUNCTION("GOOGLETRANSLATE(B132, ""en"", ""zh"")"),"全部放下")</f>
        <v>全部放下</v>
      </c>
      <c r="K132" s="25" t="str">
        <f>IFERROR(__xludf.DUMMYFUNCTION("GOOGLETRANSLATE(B132, ""en"", ""vi"")"),"Bỏ tất cả")</f>
        <v>Bỏ tất cả</v>
      </c>
      <c r="L132" s="23" t="str">
        <f>IFERROR(__xludf.DUMMYFUNCTION("GOOGLETRANSLATE(B132, ""en"", ""hr"")"),"Ispusti sve")</f>
        <v>Ispusti sve</v>
      </c>
      <c r="M132" s="23"/>
      <c r="N132" s="26"/>
      <c r="O132" s="26"/>
      <c r="P132" s="26"/>
      <c r="Q132" s="26"/>
      <c r="R132" s="26"/>
      <c r="S132" s="26"/>
      <c r="T132" s="26"/>
      <c r="U132" s="26"/>
      <c r="V132" s="26"/>
      <c r="W132" s="26"/>
      <c r="X132" s="26"/>
      <c r="Y132" s="26"/>
      <c r="Z132" s="26"/>
      <c r="AA132" s="26"/>
      <c r="AB132" s="26"/>
    </row>
    <row r="133">
      <c r="A133" s="21" t="s">
        <v>334</v>
      </c>
      <c r="B133" s="22" t="s">
        <v>334</v>
      </c>
      <c r="C133" s="23" t="s">
        <v>335</v>
      </c>
      <c r="D133" s="23" t="str">
        <f>IFERROR(__xludf.DUMMYFUNCTION("GOOGLETRANSLATE(B133, ""en"", ""es"")"),"Peso")</f>
        <v>Peso</v>
      </c>
      <c r="E133" s="23" t="str">
        <f>IFERROR(__xludf.DUMMYFUNCTION("GOOGLETRANSLATE(B133, ""en"", ""ru"")"),"Масса")</f>
        <v>Масса</v>
      </c>
      <c r="F133" s="23" t="str">
        <f>IFERROR(__xludf.DUMMYFUNCTION("GOOGLETRANSLATE(B133, ""en"", ""tr"")"),"Ağırlık")</f>
        <v>Ağırlık</v>
      </c>
      <c r="G133" s="23" t="str">
        <f>IFERROR(__xludf.DUMMYFUNCTION("GOOGLETRANSLATE(B133, ""en"", ""pt"")"),"Peso")</f>
        <v>Peso</v>
      </c>
      <c r="H133" s="24" t="str">
        <f>IFERROR(__xludf.DUMMYFUNCTION("GOOGLETRANSLATE(B133, ""en"", ""de"")"),"Gewicht")</f>
        <v>Gewicht</v>
      </c>
      <c r="I133" s="23" t="str">
        <f>IFERROR(__xludf.DUMMYFUNCTION("GOOGLETRANSLATE(B133, ""en"", ""pl"")"),"Waga")</f>
        <v>Waga</v>
      </c>
      <c r="J133" s="25" t="str">
        <f>IFERROR(__xludf.DUMMYFUNCTION("GOOGLETRANSLATE(B133, ""en"", ""zh"")"),"重量")</f>
        <v>重量</v>
      </c>
      <c r="K133" s="25" t="str">
        <f>IFERROR(__xludf.DUMMYFUNCTION("GOOGLETRANSLATE(B133, ""en"", ""vi"")"),"Trọng lượng")</f>
        <v>Trọng lượng</v>
      </c>
      <c r="L133" s="23" t="str">
        <f>IFERROR(__xludf.DUMMYFUNCTION("GOOGLETRANSLATE(B133, ""en"", ""hr"")"),"Težina")</f>
        <v>Težina</v>
      </c>
      <c r="M133" s="23"/>
      <c r="N133" s="26"/>
      <c r="O133" s="26"/>
      <c r="P133" s="26"/>
      <c r="Q133" s="26"/>
      <c r="R133" s="26"/>
      <c r="S133" s="26"/>
      <c r="T133" s="26"/>
      <c r="U133" s="26"/>
      <c r="V133" s="26"/>
      <c r="W133" s="26"/>
      <c r="X133" s="26"/>
      <c r="Y133" s="26"/>
      <c r="Z133" s="26"/>
      <c r="AA133" s="26"/>
      <c r="AB133" s="26"/>
    </row>
    <row r="134">
      <c r="A134" s="21" t="s">
        <v>336</v>
      </c>
      <c r="B134" s="22" t="s">
        <v>336</v>
      </c>
      <c r="C134" s="23" t="s">
        <v>337</v>
      </c>
      <c r="D134" s="23" t="str">
        <f>IFERROR(__xludf.DUMMYFUNCTION("GOOGLETRANSLATE(B134, ""en"", ""es"")"),"Mostrar detalles del artículo")</f>
        <v>Mostrar detalles del artículo</v>
      </c>
      <c r="E134" s="23" t="str">
        <f>IFERROR(__xludf.DUMMYFUNCTION("GOOGLETRANSLATE(B134, ""en"", ""ru"")"),"Показать детали элемента")</f>
        <v>Показать детали элемента</v>
      </c>
      <c r="F134" s="23" t="str">
        <f>IFERROR(__xludf.DUMMYFUNCTION("GOOGLETRANSLATE(B134, ""en"", ""tr"")"),"Öğe ayrıntılarını göster")</f>
        <v>Öğe ayrıntılarını göster</v>
      </c>
      <c r="G134" s="23" t="str">
        <f>IFERROR(__xludf.DUMMYFUNCTION("GOOGLETRANSLATE(B134, ""en"", ""pt"")"),"Mostrar detalhes do item")</f>
        <v>Mostrar detalhes do item</v>
      </c>
      <c r="H134" s="24" t="str">
        <f>IFERROR(__xludf.DUMMYFUNCTION("GOOGLETRANSLATE(B134, ""en"", ""de"")"),"Artikeldetails anzeigen")</f>
        <v>Artikeldetails anzeigen</v>
      </c>
      <c r="I134" s="23" t="str">
        <f>IFERROR(__xludf.DUMMYFUNCTION("GOOGLETRANSLATE(B134, ""en"", ""pl"")"),"Pokaż szczegóły elementu")</f>
        <v>Pokaż szczegóły elementu</v>
      </c>
      <c r="J134" s="25" t="str">
        <f>IFERROR(__xludf.DUMMYFUNCTION("GOOGLETRANSLATE(B134, ""en"", ""zh"")"),"显示项目详细信息")</f>
        <v>显示项目详细信息</v>
      </c>
      <c r="K134" s="25" t="str">
        <f>IFERROR(__xludf.DUMMYFUNCTION("GOOGLETRANSLATE(B134, ""en"", ""vi"")"),"Hiển thị chi tiết mục")</f>
        <v>Hiển thị chi tiết mục</v>
      </c>
      <c r="L134" s="23" t="str">
        <f>IFERROR(__xludf.DUMMYFUNCTION("GOOGLETRANSLATE(B134, ""en"", ""hr"")"),"Prikaži detalje o stavci")</f>
        <v>Prikaži detalje o stavci</v>
      </c>
      <c r="M134" s="23"/>
      <c r="N134" s="26"/>
      <c r="O134" s="26"/>
      <c r="P134" s="26"/>
      <c r="Q134" s="26"/>
      <c r="R134" s="26"/>
      <c r="S134" s="26"/>
      <c r="T134" s="26"/>
      <c r="U134" s="26"/>
      <c r="V134" s="26"/>
      <c r="W134" s="26"/>
      <c r="X134" s="26"/>
      <c r="Y134" s="26"/>
      <c r="Z134" s="26"/>
      <c r="AA134" s="26"/>
      <c r="AB134" s="26"/>
    </row>
    <row r="135">
      <c r="A135" s="21" t="s">
        <v>338</v>
      </c>
      <c r="B135" s="22" t="s">
        <v>339</v>
      </c>
      <c r="C135" s="23" t="str">
        <f>IFERROR(__xludf.DUMMYFUNCTION("GOOGLETRANSLATE(B135, ""en"", ""fr"")"),"Aucun élément trouvé.")</f>
        <v>Aucun élément trouvé.</v>
      </c>
      <c r="D135" s="23" t="str">
        <f>IFERROR(__xludf.DUMMYFUNCTION("GOOGLETRANSLATE(B135, ""en"", ""es"")"),"No se encontraron artículos.")</f>
        <v>No se encontraron artículos.</v>
      </c>
      <c r="E135" s="23" t="str">
        <f>IFERROR(__xludf.DUMMYFUNCTION("GOOGLETRANSLATE(B135, ""en"", ""ru"")"),"Ничего не найдено.")</f>
        <v>Ничего не найдено.</v>
      </c>
      <c r="F135" s="23" t="str">
        <f>IFERROR(__xludf.DUMMYFUNCTION("GOOGLETRANSLATE(B135, ""en"", ""tr"")"),"Hiç bir öğe bulunamadı.")</f>
        <v>Hiç bir öğe bulunamadı.</v>
      </c>
      <c r="G135" s="23" t="str">
        <f>IFERROR(__xludf.DUMMYFUNCTION("GOOGLETRANSLATE(B135, ""en"", ""pt"")"),"Nenhum item encontrado.")</f>
        <v>Nenhum item encontrado.</v>
      </c>
      <c r="H135" s="24" t="str">
        <f>IFERROR(__xludf.DUMMYFUNCTION("GOOGLETRANSLATE(B135, ""en"", ""de"")"),"Keine Elemente gefunden.")</f>
        <v>Keine Elemente gefunden.</v>
      </c>
      <c r="I135" s="23" t="str">
        <f>IFERROR(__xludf.DUMMYFUNCTION("GOOGLETRANSLATE(B135, ""en"", ""pl"")"),"Nie znaleziono żadnych przedmiotów.")</f>
        <v>Nie znaleziono żadnych przedmiotów.</v>
      </c>
      <c r="J135" s="25" t="str">
        <f>IFERROR(__xludf.DUMMYFUNCTION("GOOGLETRANSLATE(B135, ""en"", ""zh"")"),"未找到任何项目。")</f>
        <v>未找到任何项目。</v>
      </c>
      <c r="K135" s="25" t="str">
        <f>IFERROR(__xludf.DUMMYFUNCTION("GOOGLETRANSLATE(B135, ""en"", ""vi"")"),"Không tìm thấy vật nào.")</f>
        <v>Không tìm thấy vật nào.</v>
      </c>
      <c r="L135" s="23" t="str">
        <f>IFERROR(__xludf.DUMMYFUNCTION("GOOGLETRANSLATE(B135, ""en"", ""hr"")"),"Nisu pronađeni predmeti.")</f>
        <v>Nisu pronađeni predmeti.</v>
      </c>
      <c r="M135" s="23"/>
      <c r="N135" s="26"/>
      <c r="O135" s="26"/>
      <c r="P135" s="26"/>
      <c r="Q135" s="26"/>
      <c r="R135" s="26"/>
      <c r="S135" s="26"/>
      <c r="T135" s="26"/>
      <c r="U135" s="26"/>
      <c r="V135" s="26"/>
      <c r="W135" s="26"/>
      <c r="X135" s="26"/>
      <c r="Y135" s="26"/>
      <c r="Z135" s="26"/>
      <c r="AA135" s="26"/>
      <c r="AB135" s="26"/>
    </row>
    <row r="136">
      <c r="A136" s="21" t="s">
        <v>340</v>
      </c>
      <c r="B136" s="22" t="s">
        <v>341</v>
      </c>
      <c r="C136" s="23" t="str">
        <f>IFERROR(__xludf.DUMMYFUNCTION("GOOGLETRANSLATE(B136, ""en"", ""fr"")"),"Aucune option d'artisanat disponible.")</f>
        <v>Aucune option d'artisanat disponible.</v>
      </c>
      <c r="D136" s="23" t="str">
        <f>IFERROR(__xludf.DUMMYFUNCTION("GOOGLETRANSLATE(B136, ""en"", ""es"")"),"No hay opciones de elaboración disponibles.")</f>
        <v>No hay opciones de elaboración disponibles.</v>
      </c>
      <c r="E136" s="23" t="str">
        <f>IFERROR(__xludf.DUMMYFUNCTION("GOOGLETRANSLATE(B136, ""en"", ""ru"")"),"Нет вариантов ремесла.")</f>
        <v>Нет вариантов ремесла.</v>
      </c>
      <c r="F136" s="23" t="str">
        <f>IFERROR(__xludf.DUMMYFUNCTION("GOOGLETRANSLATE(B136, ""en"", ""tr"")"),"İşletme seçeneği yok.")</f>
        <v>İşletme seçeneği yok.</v>
      </c>
      <c r="G136" s="23" t="str">
        <f>IFERROR(__xludf.DUMMYFUNCTION("GOOGLETRANSLATE(B136, ""en"", ""pt"")"),"Não há opções de artesanato disponíveis.")</f>
        <v>Não há opções de artesanato disponíveis.</v>
      </c>
      <c r="H136" s="24" t="str">
        <f>IFERROR(__xludf.DUMMYFUNCTION("GOOGLETRANSLATE(B136, ""en"", ""de"")"),"Keine Handwerksoptionen verfügbar.")</f>
        <v>Keine Handwerksoptionen verfügbar.</v>
      </c>
      <c r="I136" s="23" t="str">
        <f>IFERROR(__xludf.DUMMYFUNCTION("GOOGLETRANSLATE(B136, ""en"", ""pl"")"),"Brak dostępnych opcji tworzenia.")</f>
        <v>Brak dostępnych opcji tworzenia.</v>
      </c>
      <c r="J136" s="25" t="str">
        <f>IFERROR(__xludf.DUMMYFUNCTION("GOOGLETRANSLATE(B136, ""en"", ""zh"")"),"没有可用的制作选项。")</f>
        <v>没有可用的制作选项。</v>
      </c>
      <c r="K136" s="25" t="str">
        <f>IFERROR(__xludf.DUMMYFUNCTION("GOOGLETRANSLATE(B136, ""en"", ""vi"")"),"Không có tùy chọn chế tạo có sẵn.")</f>
        <v>Không có tùy chọn chế tạo có sẵn.</v>
      </c>
      <c r="L136" s="23" t="str">
        <f>IFERROR(__xludf.DUMMYFUNCTION("GOOGLETRANSLATE(B136, ""en"", ""hr"")"),"Nema dostupnih opcija za izradu.")</f>
        <v>Nema dostupnih opcija za izradu.</v>
      </c>
      <c r="M136" s="23"/>
      <c r="N136" s="26"/>
      <c r="O136" s="26"/>
      <c r="P136" s="26"/>
      <c r="Q136" s="26"/>
      <c r="R136" s="26"/>
      <c r="S136" s="26"/>
      <c r="T136" s="26"/>
      <c r="U136" s="26"/>
      <c r="V136" s="26"/>
      <c r="W136" s="26"/>
      <c r="X136" s="26"/>
      <c r="Y136" s="26"/>
      <c r="Z136" s="26"/>
      <c r="AA136" s="26"/>
      <c r="AB136" s="26"/>
    </row>
    <row r="137">
      <c r="A137" s="21" t="s">
        <v>342</v>
      </c>
      <c r="B137" s="22" t="s">
        <v>342</v>
      </c>
      <c r="C137" s="23" t="str">
        <f>IFERROR(__xludf.DUMMYFUNCTION("GOOGLETRANSLATE(B137, ""en"", ""fr"")"),"Artisanat")</f>
        <v>Artisanat</v>
      </c>
      <c r="D137" s="23" t="str">
        <f>IFERROR(__xludf.DUMMYFUNCTION("GOOGLETRANSLATE(B137, ""en"", ""es"")"),"Artesanía")</f>
        <v>Artesanía</v>
      </c>
      <c r="E137" s="23" t="str">
        <f>IFERROR(__xludf.DUMMYFUNCTION("GOOGLETRANSLATE(B137, ""en"", ""ru"")"),"Ремесло")</f>
        <v>Ремесло</v>
      </c>
      <c r="F137" s="23" t="str">
        <f>IFERROR(__xludf.DUMMYFUNCTION("GOOGLETRANSLATE(B137, ""en"", ""tr"")"),"Zanaat")</f>
        <v>Zanaat</v>
      </c>
      <c r="G137" s="23" t="str">
        <f>IFERROR(__xludf.DUMMYFUNCTION("GOOGLETRANSLATE(B137, ""en"", ""pt"")"),"Arte")</f>
        <v>Arte</v>
      </c>
      <c r="H137" s="24" t="str">
        <f>IFERROR(__xludf.DUMMYFUNCTION("GOOGLETRANSLATE(B137, ""en"", ""de"")"),"Boot")</f>
        <v>Boot</v>
      </c>
      <c r="I137" s="23" t="str">
        <f>IFERROR(__xludf.DUMMYFUNCTION("GOOGLETRANSLATE(B137, ""en"", ""pl"")"),"Rękodzieło")</f>
        <v>Rękodzieło</v>
      </c>
      <c r="J137" s="25" t="str">
        <f>IFERROR(__xludf.DUMMYFUNCTION("GOOGLETRANSLATE(B137, ""en"", ""zh"")"),"工艺")</f>
        <v>工艺</v>
      </c>
      <c r="K137" s="25" t="str">
        <f>IFERROR(__xludf.DUMMYFUNCTION("GOOGLETRANSLATE(B137, ""en"", ""vi"")"),"Thủ công")</f>
        <v>Thủ công</v>
      </c>
      <c r="L137" s="23" t="str">
        <f>IFERROR(__xludf.DUMMYFUNCTION("GOOGLETRANSLATE(B137, ""en"", ""hr"")"),"Zanat")</f>
        <v>Zanat</v>
      </c>
      <c r="M137" s="23"/>
      <c r="N137" s="26"/>
      <c r="O137" s="26"/>
      <c r="P137" s="26"/>
      <c r="Q137" s="26"/>
      <c r="R137" s="26"/>
      <c r="S137" s="26"/>
      <c r="T137" s="26"/>
      <c r="U137" s="26"/>
      <c r="V137" s="26"/>
      <c r="W137" s="26"/>
      <c r="X137" s="26"/>
      <c r="Y137" s="26"/>
      <c r="Z137" s="26"/>
      <c r="AA137" s="26"/>
      <c r="AB137" s="26"/>
    </row>
    <row r="138">
      <c r="A138" s="28" t="s">
        <v>343</v>
      </c>
      <c r="B138" s="22" t="s">
        <v>343</v>
      </c>
      <c r="C138" s="23" t="str">
        <f>IFERROR(__xludf.DUMMYFUNCTION("GOOGLETRANSLATE(B138, ""en"", ""fr"")"),"Niveau")</f>
        <v>Niveau</v>
      </c>
      <c r="D138" s="23" t="str">
        <f>IFERROR(__xludf.DUMMYFUNCTION("GOOGLETRANSLATE(B138, ""en"", ""es"")"),"Nivel")</f>
        <v>Nivel</v>
      </c>
      <c r="E138" s="23" t="str">
        <f>IFERROR(__xludf.DUMMYFUNCTION("GOOGLETRANSLATE(B138, ""en"", ""ru"")"),"Уровень")</f>
        <v>Уровень</v>
      </c>
      <c r="F138" s="23" t="str">
        <f>IFERROR(__xludf.DUMMYFUNCTION("GOOGLETRANSLATE(B138, ""en"", ""tr"")"),"Seviyesi")</f>
        <v>Seviyesi</v>
      </c>
      <c r="G138" s="23" t="str">
        <f>IFERROR(__xludf.DUMMYFUNCTION("GOOGLETRANSLATE(B138, ""en"", ""pt"")"),"Nível")</f>
        <v>Nível</v>
      </c>
      <c r="H138" s="24" t="str">
        <f>IFERROR(__xludf.DUMMYFUNCTION("GOOGLETRANSLATE(B138, ""en"", ""de"")"),"Eben")</f>
        <v>Eben</v>
      </c>
      <c r="I138" s="23" t="str">
        <f>IFERROR(__xludf.DUMMYFUNCTION("GOOGLETRANSLATE(B138, ""en"", ""pl"")"),"Poziom")</f>
        <v>Poziom</v>
      </c>
      <c r="J138" s="25" t="str">
        <f>IFERROR(__xludf.DUMMYFUNCTION("GOOGLETRANSLATE(B138, ""en"", ""zh"")"),"等级")</f>
        <v>等级</v>
      </c>
      <c r="K138" s="25" t="str">
        <f>IFERROR(__xludf.DUMMYFUNCTION("GOOGLETRANSLATE(B138, ""en"", ""vi"")"),"Mức độ")</f>
        <v>Mức độ</v>
      </c>
      <c r="L138" s="23" t="str">
        <f>IFERROR(__xludf.DUMMYFUNCTION("GOOGLETRANSLATE(B138, ""en"", ""hr"")"),"Nivo")</f>
        <v>Nivo</v>
      </c>
      <c r="M138" s="23"/>
      <c r="N138" s="26"/>
      <c r="O138" s="26"/>
      <c r="P138" s="26"/>
      <c r="Q138" s="26"/>
      <c r="R138" s="26"/>
      <c r="S138" s="26"/>
      <c r="T138" s="26"/>
      <c r="U138" s="26"/>
      <c r="V138" s="26"/>
      <c r="W138" s="26"/>
      <c r="X138" s="26"/>
      <c r="Y138" s="26"/>
      <c r="Z138" s="26"/>
      <c r="AA138" s="26"/>
      <c r="AB138" s="26"/>
    </row>
    <row r="139">
      <c r="A139" s="28" t="s">
        <v>344</v>
      </c>
      <c r="B139" s="22" t="s">
        <v>344</v>
      </c>
      <c r="C139" s="23" t="s">
        <v>345</v>
      </c>
      <c r="D139" s="23" t="str">
        <f>IFERROR(__xludf.DUMMYFUNCTION("GOOGLETRANSLATE(B139, ""en"", ""es"")"),"Exp")</f>
        <v>Exp</v>
      </c>
      <c r="E139" s="23" t="str">
        <f>IFERROR(__xludf.DUMMYFUNCTION("GOOGLETRANSLATE(B139, ""en"", ""ru"")"),"Эксплуат")</f>
        <v>Эксплуат</v>
      </c>
      <c r="F139" s="23" t="str">
        <f>IFERROR(__xludf.DUMMYFUNCTION("GOOGLETRANSLATE(B139, ""en"", ""tr"")"),"Tecrübe")</f>
        <v>Tecrübe</v>
      </c>
      <c r="G139" s="23" t="str">
        <f>IFERROR(__xludf.DUMMYFUNCTION("GOOGLETRANSLATE(B139, ""en"", ""pt"")"),"Exp")</f>
        <v>Exp</v>
      </c>
      <c r="H139" s="24" t="str">
        <f>IFERROR(__xludf.DUMMYFUNCTION("GOOGLETRANSLATE(B139, ""en"", ""de"")"),"Exp")</f>
        <v>Exp</v>
      </c>
      <c r="I139" s="23" t="str">
        <f>IFERROR(__xludf.DUMMYFUNCTION("GOOGLETRANSLATE(B139, ""en"", ""pl"")"),"Do potęgi")</f>
        <v>Do potęgi</v>
      </c>
      <c r="J139" s="25" t="str">
        <f>IFERROR(__xludf.DUMMYFUNCTION("GOOGLETRANSLATE(B139, ""en"", ""zh"")"),"经验")</f>
        <v>经验</v>
      </c>
      <c r="K139" s="25" t="str">
        <f>IFERROR(__xludf.DUMMYFUNCTION("GOOGLETRANSLATE(B139, ""en"", ""vi"")"),"Exp")</f>
        <v>Exp</v>
      </c>
      <c r="L139" s="23" t="str">
        <f>IFERROR(__xludf.DUMMYFUNCTION("GOOGLETRANSLATE(B139, ""en"", ""hr"")"),"Expor")</f>
        <v>Expor</v>
      </c>
      <c r="M139" s="23"/>
      <c r="N139" s="26"/>
      <c r="O139" s="26"/>
      <c r="P139" s="26"/>
      <c r="Q139" s="26"/>
      <c r="R139" s="26"/>
      <c r="S139" s="26"/>
      <c r="T139" s="26"/>
      <c r="U139" s="26"/>
      <c r="V139" s="26"/>
      <c r="W139" s="26"/>
      <c r="X139" s="26"/>
      <c r="Y139" s="26"/>
      <c r="Z139" s="26"/>
      <c r="AA139" s="26"/>
      <c r="AB139" s="26"/>
    </row>
    <row r="140">
      <c r="A140" s="28" t="s">
        <v>181</v>
      </c>
      <c r="B140" s="22" t="s">
        <v>181</v>
      </c>
      <c r="C140" s="23" t="str">
        <f>IFERROR(__xludf.DUMMYFUNCTION("GOOGLETRANSLATE(B140, ""en"", ""fr"")"),"Tâches")</f>
        <v>Tâches</v>
      </c>
      <c r="D140" s="23" t="str">
        <f>IFERROR(__xludf.DUMMYFUNCTION("GOOGLETRANSLATE(B140, ""en"", ""es"")"),"Tareas")</f>
        <v>Tareas</v>
      </c>
      <c r="E140" s="23" t="str">
        <f>IFERROR(__xludf.DUMMYFUNCTION("GOOGLETRANSLATE(B140, ""en"", ""ru"")"),"Задачи")</f>
        <v>Задачи</v>
      </c>
      <c r="F140" s="23" t="str">
        <f>IFERROR(__xludf.DUMMYFUNCTION("GOOGLETRANSLATE(B140, ""en"", ""tr"")"),"Görevler")</f>
        <v>Görevler</v>
      </c>
      <c r="G140" s="23" t="str">
        <f>IFERROR(__xludf.DUMMYFUNCTION("GOOGLETRANSLATE(B140, ""en"", ""pt"")"),"Tarefas")</f>
        <v>Tarefas</v>
      </c>
      <c r="H140" s="24" t="str">
        <f>IFERROR(__xludf.DUMMYFUNCTION("GOOGLETRANSLATE(B140, ""en"", ""de"")"),"Aufgaben")</f>
        <v>Aufgaben</v>
      </c>
      <c r="I140" s="23" t="str">
        <f>IFERROR(__xludf.DUMMYFUNCTION("GOOGLETRANSLATE(B140, ""en"", ""pl"")"),"Zadania")</f>
        <v>Zadania</v>
      </c>
      <c r="J140" s="25" t="str">
        <f>IFERROR(__xludf.DUMMYFUNCTION("GOOGLETRANSLATE(B140, ""en"", ""zh"")"),"任务")</f>
        <v>任务</v>
      </c>
      <c r="K140" s="25" t="str">
        <f>IFERROR(__xludf.DUMMYFUNCTION("GOOGLETRANSLATE(B140, ""en"", ""vi"")"),"Nhiệm vụ")</f>
        <v>Nhiệm vụ</v>
      </c>
      <c r="L140" s="23" t="str">
        <f>IFERROR(__xludf.DUMMYFUNCTION("GOOGLETRANSLATE(B140, ""en"", ""hr"")"),"Zadaci")</f>
        <v>Zadaci</v>
      </c>
      <c r="M140" s="23"/>
      <c r="N140" s="26"/>
      <c r="O140" s="26"/>
      <c r="P140" s="26"/>
      <c r="Q140" s="26"/>
      <c r="R140" s="26"/>
      <c r="S140" s="26"/>
      <c r="T140" s="26"/>
      <c r="U140" s="26"/>
      <c r="V140" s="26"/>
      <c r="W140" s="26"/>
      <c r="X140" s="26"/>
      <c r="Y140" s="26"/>
      <c r="Z140" s="26"/>
      <c r="AA140" s="26"/>
      <c r="AB140" s="26"/>
    </row>
    <row r="141">
      <c r="A141" s="28" t="s">
        <v>346</v>
      </c>
      <c r="B141" s="22" t="s">
        <v>346</v>
      </c>
      <c r="C141" s="23" t="str">
        <f>IFERROR(__xludf.DUMMYFUNCTION("GOOGLETRANSLATE(B141, ""en"", ""fr"")"),"Tâche")</f>
        <v>Tâche</v>
      </c>
      <c r="D141" s="23" t="str">
        <f>IFERROR(__xludf.DUMMYFUNCTION("GOOGLETRANSLATE(B141, ""en"", ""es"")"),"Tarea")</f>
        <v>Tarea</v>
      </c>
      <c r="E141" s="23" t="str">
        <f>IFERROR(__xludf.DUMMYFUNCTION("GOOGLETRANSLATE(B141, ""en"", ""ru"")"),"Задача")</f>
        <v>Задача</v>
      </c>
      <c r="F141" s="23" t="str">
        <f>IFERROR(__xludf.DUMMYFUNCTION("GOOGLETRANSLATE(B141, ""en"", ""tr"")"),"Görev")</f>
        <v>Görev</v>
      </c>
      <c r="G141" s="23" t="str">
        <f>IFERROR(__xludf.DUMMYFUNCTION("GOOGLETRANSLATE(B141, ""en"", ""pt"")"),"Tarefa")</f>
        <v>Tarefa</v>
      </c>
      <c r="H141" s="24" t="str">
        <f>IFERROR(__xludf.DUMMYFUNCTION("GOOGLETRANSLATE(B141, ""en"", ""de"")"),"Aufgabe")</f>
        <v>Aufgabe</v>
      </c>
      <c r="I141" s="23" t="str">
        <f>IFERROR(__xludf.DUMMYFUNCTION("GOOGLETRANSLATE(B141, ""en"", ""pl"")"),"Zadanie")</f>
        <v>Zadanie</v>
      </c>
      <c r="J141" s="25" t="str">
        <f>IFERROR(__xludf.DUMMYFUNCTION("GOOGLETRANSLATE(B141, ""en"", ""zh"")"),"任务")</f>
        <v>任务</v>
      </c>
      <c r="K141" s="25" t="str">
        <f>IFERROR(__xludf.DUMMYFUNCTION("GOOGLETRANSLATE(B141, ""en"", ""vi"")"),"Nhiệm vụ")</f>
        <v>Nhiệm vụ</v>
      </c>
      <c r="L141" s="23" t="str">
        <f>IFERROR(__xludf.DUMMYFUNCTION("GOOGLETRANSLATE(B141, ""en"", ""hr"")"),"Zadatak")</f>
        <v>Zadatak</v>
      </c>
      <c r="M141" s="23"/>
      <c r="N141" s="26"/>
      <c r="O141" s="26"/>
      <c r="P141" s="26"/>
      <c r="Q141" s="26"/>
      <c r="R141" s="26"/>
      <c r="S141" s="26"/>
      <c r="T141" s="26"/>
      <c r="U141" s="26"/>
      <c r="V141" s="26"/>
      <c r="W141" s="26"/>
      <c r="X141" s="26"/>
      <c r="Y141" s="26"/>
      <c r="Z141" s="26"/>
      <c r="AA141" s="26"/>
      <c r="AB141" s="26"/>
    </row>
    <row r="142">
      <c r="A142" s="21" t="s">
        <v>347</v>
      </c>
      <c r="B142" s="22" t="s">
        <v>347</v>
      </c>
      <c r="C142" s="23" t="s">
        <v>348</v>
      </c>
      <c r="D142" s="23" t="str">
        <f>IFERROR(__xludf.DUMMYFUNCTION("GOOGLETRANSLATE(B142, ""en"", ""es"")"),"Progreso")</f>
        <v>Progreso</v>
      </c>
      <c r="E142" s="23" t="str">
        <f>IFERROR(__xludf.DUMMYFUNCTION("GOOGLETRANSLATE(B142, ""en"", ""ru"")"),"Прогресс")</f>
        <v>Прогресс</v>
      </c>
      <c r="F142" s="23" t="str">
        <f>IFERROR(__xludf.DUMMYFUNCTION("GOOGLETRANSLATE(B142, ""en"", ""tr"")"),"İlerlemek")</f>
        <v>İlerlemek</v>
      </c>
      <c r="G142" s="23" t="str">
        <f>IFERROR(__xludf.DUMMYFUNCTION("GOOGLETRANSLATE(B142, ""en"", ""pt"")"),"Progresso")</f>
        <v>Progresso</v>
      </c>
      <c r="H142" s="24" t="str">
        <f>IFERROR(__xludf.DUMMYFUNCTION("GOOGLETRANSLATE(B142, ""en"", ""de"")"),"Fortschritt")</f>
        <v>Fortschritt</v>
      </c>
      <c r="I142" s="23" t="str">
        <f>IFERROR(__xludf.DUMMYFUNCTION("GOOGLETRANSLATE(B142, ""en"", ""pl"")"),"Postęp")</f>
        <v>Postęp</v>
      </c>
      <c r="J142" s="25" t="str">
        <f>IFERROR(__xludf.DUMMYFUNCTION("GOOGLETRANSLATE(B142, ""en"", ""zh"")"),"进步")</f>
        <v>进步</v>
      </c>
      <c r="K142" s="25" t="str">
        <f>IFERROR(__xludf.DUMMYFUNCTION("GOOGLETRANSLATE(B142, ""en"", ""vi"")"),"Tiến triển")</f>
        <v>Tiến triển</v>
      </c>
      <c r="L142" s="23" t="str">
        <f>IFERROR(__xludf.DUMMYFUNCTION("GOOGLETRANSLATE(B142, ""en"", ""hr"")"),"Napredak")</f>
        <v>Napredak</v>
      </c>
      <c r="M142" s="23"/>
      <c r="N142" s="26"/>
      <c r="O142" s="26"/>
      <c r="P142" s="26"/>
      <c r="Q142" s="26"/>
      <c r="R142" s="26"/>
      <c r="S142" s="26"/>
      <c r="T142" s="26"/>
      <c r="U142" s="26"/>
      <c r="V142" s="26"/>
      <c r="W142" s="26"/>
      <c r="X142" s="26"/>
      <c r="Y142" s="26"/>
      <c r="Z142" s="26"/>
      <c r="AA142" s="26"/>
      <c r="AB142" s="26"/>
    </row>
    <row r="143">
      <c r="A143" s="21" t="s">
        <v>349</v>
      </c>
      <c r="B143" s="22" t="s">
        <v>349</v>
      </c>
      <c r="C143" s="23" t="str">
        <f>IFERROR(__xludf.DUMMYFUNCTION("GOOGLETRANSLATE(B143, ""en"", ""fr"")"),"Récompense")</f>
        <v>Récompense</v>
      </c>
      <c r="D143" s="23" t="str">
        <f>IFERROR(__xludf.DUMMYFUNCTION("GOOGLETRANSLATE(B143, ""en"", ""es"")"),"Premio")</f>
        <v>Premio</v>
      </c>
      <c r="E143" s="23" t="str">
        <f>IFERROR(__xludf.DUMMYFUNCTION("GOOGLETRANSLATE(B143, ""en"", ""ru"")"),"Награда")</f>
        <v>Награда</v>
      </c>
      <c r="F143" s="23" t="str">
        <f>IFERROR(__xludf.DUMMYFUNCTION("GOOGLETRANSLATE(B143, ""en"", ""tr"")"),"Ödül")</f>
        <v>Ödül</v>
      </c>
      <c r="G143" s="23" t="str">
        <f>IFERROR(__xludf.DUMMYFUNCTION("GOOGLETRANSLATE(B143, ""en"", ""pt"")"),"Recompensa")</f>
        <v>Recompensa</v>
      </c>
      <c r="H143" s="24" t="str">
        <f>IFERROR(__xludf.DUMMYFUNCTION("GOOGLETRANSLATE(B143, ""en"", ""de"")"),"Belohnen")</f>
        <v>Belohnen</v>
      </c>
      <c r="I143" s="23" t="str">
        <f>IFERROR(__xludf.DUMMYFUNCTION("GOOGLETRANSLATE(B143, ""en"", ""pl"")"),"Nagroda")</f>
        <v>Nagroda</v>
      </c>
      <c r="J143" s="25" t="str">
        <f>IFERROR(__xludf.DUMMYFUNCTION("GOOGLETRANSLATE(B143, ""en"", ""zh"")"),"报酬")</f>
        <v>报酬</v>
      </c>
      <c r="K143" s="25" t="str">
        <f>IFERROR(__xludf.DUMMYFUNCTION("GOOGLETRANSLATE(B143, ""en"", ""vi"")"),"Giải thưởng")</f>
        <v>Giải thưởng</v>
      </c>
      <c r="L143" s="23" t="str">
        <f>IFERROR(__xludf.DUMMYFUNCTION("GOOGLETRANSLATE(B143, ""en"", ""hr"")"),"Nagrada")</f>
        <v>Nagrada</v>
      </c>
      <c r="M143" s="23"/>
      <c r="N143" s="26"/>
      <c r="O143" s="26"/>
      <c r="P143" s="26"/>
      <c r="Q143" s="26"/>
      <c r="R143" s="26"/>
      <c r="S143" s="26"/>
      <c r="T143" s="26"/>
      <c r="U143" s="26"/>
      <c r="V143" s="26"/>
      <c r="W143" s="26"/>
      <c r="X143" s="26"/>
      <c r="Y143" s="26"/>
      <c r="Z143" s="26"/>
      <c r="AA143" s="26"/>
      <c r="AB143" s="26"/>
    </row>
    <row r="144">
      <c r="A144" s="21" t="s">
        <v>350</v>
      </c>
      <c r="B144" s="22" t="s">
        <v>350</v>
      </c>
      <c r="C144" s="23" t="str">
        <f>IFERROR(__xludf.DUMMYFUNCTION("GOOGLETRANSLATE(B144, ""en"", ""fr"")"),"Pister")</f>
        <v>Pister</v>
      </c>
      <c r="D144" s="23" t="str">
        <f>IFERROR(__xludf.DUMMYFUNCTION("GOOGLETRANSLATE(B144, ""en"", ""es"")"),"Pista")</f>
        <v>Pista</v>
      </c>
      <c r="E144" s="23" t="str">
        <f>IFERROR(__xludf.DUMMYFUNCTION("GOOGLETRANSLATE(B144, ""en"", ""ru"")"),"Отслеживать")</f>
        <v>Отслеживать</v>
      </c>
      <c r="F144" s="23" t="str">
        <f>IFERROR(__xludf.DUMMYFUNCTION("GOOGLETRANSLATE(B144, ""en"", ""tr"")"),"Izlemek")</f>
        <v>Izlemek</v>
      </c>
      <c r="G144" s="23" t="str">
        <f>IFERROR(__xludf.DUMMYFUNCTION("GOOGLETRANSLATE(B144, ""en"", ""pt"")"),"Acompanhar")</f>
        <v>Acompanhar</v>
      </c>
      <c r="H144" s="24" t="str">
        <f>IFERROR(__xludf.DUMMYFUNCTION("GOOGLETRANSLATE(B144, ""en"", ""de"")"),"Spur")</f>
        <v>Spur</v>
      </c>
      <c r="I144" s="23" t="str">
        <f>IFERROR(__xludf.DUMMYFUNCTION("GOOGLETRANSLATE(B144, ""en"", ""pl"")"),"Tor")</f>
        <v>Tor</v>
      </c>
      <c r="J144" s="25" t="str">
        <f>IFERROR(__xludf.DUMMYFUNCTION("GOOGLETRANSLATE(B144, ""en"", ""zh"")"),"追踪")</f>
        <v>追踪</v>
      </c>
      <c r="K144" s="25" t="str">
        <f>IFERROR(__xludf.DUMMYFUNCTION("GOOGLETRANSLATE(B144, ""en"", ""vi"")"),"Theo dõi")</f>
        <v>Theo dõi</v>
      </c>
      <c r="L144" s="23" t="str">
        <f>IFERROR(__xludf.DUMMYFUNCTION("GOOGLETRANSLATE(B144, ""en"", ""hr"")"),"Staza")</f>
        <v>Staza</v>
      </c>
      <c r="M144" s="23"/>
      <c r="N144" s="26"/>
      <c r="O144" s="26"/>
      <c r="P144" s="26"/>
      <c r="Q144" s="26"/>
      <c r="R144" s="26"/>
      <c r="S144" s="26"/>
      <c r="T144" s="26"/>
      <c r="U144" s="26"/>
      <c r="V144" s="26"/>
      <c r="W144" s="26"/>
      <c r="X144" s="26"/>
      <c r="Y144" s="26"/>
      <c r="Z144" s="26"/>
      <c r="AA144" s="26"/>
      <c r="AB144" s="26"/>
    </row>
    <row r="145">
      <c r="A145" s="21" t="s">
        <v>351</v>
      </c>
      <c r="B145" s="22" t="s">
        <v>351</v>
      </c>
      <c r="C145" s="23" t="str">
        <f>IFERROR(__xludf.DUMMYFUNCTION("GOOGLETRANSLATE(B145, ""en"", ""fr"")"),"Prétendre")</f>
        <v>Prétendre</v>
      </c>
      <c r="D145" s="23" t="str">
        <f>IFERROR(__xludf.DUMMYFUNCTION("GOOGLETRANSLATE(B145, ""en"", ""es"")"),"Reclamar")</f>
        <v>Reclamar</v>
      </c>
      <c r="E145" s="23" t="str">
        <f>IFERROR(__xludf.DUMMYFUNCTION("GOOGLETRANSLATE(B145, ""en"", ""ru"")"),"Требовать")</f>
        <v>Требовать</v>
      </c>
      <c r="F145" s="23" t="str">
        <f>IFERROR(__xludf.DUMMYFUNCTION("GOOGLETRANSLATE(B145, ""en"", ""tr"")"),"İddia")</f>
        <v>İddia</v>
      </c>
      <c r="G145" s="23" t="str">
        <f>IFERROR(__xludf.DUMMYFUNCTION("GOOGLETRANSLATE(B145, ""en"", ""pt"")"),"Alegar")</f>
        <v>Alegar</v>
      </c>
      <c r="H145" s="24" t="str">
        <f>IFERROR(__xludf.DUMMYFUNCTION("GOOGLETRANSLATE(B145, ""en"", ""de"")"),"Beanspruchen")</f>
        <v>Beanspruchen</v>
      </c>
      <c r="I145" s="23" t="str">
        <f>IFERROR(__xludf.DUMMYFUNCTION("GOOGLETRANSLATE(B145, ""en"", ""pl"")"),"Prawo")</f>
        <v>Prawo</v>
      </c>
      <c r="J145" s="25" t="str">
        <f>IFERROR(__xludf.DUMMYFUNCTION("GOOGLETRANSLATE(B145, ""en"", ""zh"")"),"宣称")</f>
        <v>宣称</v>
      </c>
      <c r="K145" s="25" t="str">
        <f>IFERROR(__xludf.DUMMYFUNCTION("GOOGLETRANSLATE(B145, ""en"", ""vi"")"),"Yêu cầu")</f>
        <v>Yêu cầu</v>
      </c>
      <c r="L145" s="23" t="str">
        <f>IFERROR(__xludf.DUMMYFUNCTION("GOOGLETRANSLATE(B145, ""en"", ""hr"")"),"Zahtjev")</f>
        <v>Zahtjev</v>
      </c>
      <c r="M145" s="23"/>
      <c r="N145" s="26"/>
      <c r="O145" s="26"/>
      <c r="P145" s="26"/>
      <c r="Q145" s="26"/>
      <c r="R145" s="26"/>
      <c r="S145" s="26"/>
      <c r="T145" s="26"/>
      <c r="U145" s="26"/>
      <c r="V145" s="26"/>
      <c r="W145" s="26"/>
      <c r="X145" s="26"/>
      <c r="Y145" s="26"/>
      <c r="Z145" s="26"/>
      <c r="AA145" s="26"/>
      <c r="AB145" s="26"/>
    </row>
    <row r="146">
      <c r="A146" s="21" t="s">
        <v>352</v>
      </c>
      <c r="B146" s="22" t="s">
        <v>353</v>
      </c>
      <c r="C146" s="23" t="str">
        <f>IFERROR(__xludf.DUMMYFUNCTION("GOOGLETRANSLATE(B146, ""en"", ""fr"")"),"Tâche terminée!")</f>
        <v>Tâche terminée!</v>
      </c>
      <c r="D146" s="23" t="str">
        <f>IFERROR(__xludf.DUMMYFUNCTION("GOOGLETRANSLATE(B146, ""en"", ""es"")"),"¡Tarea terminada!")</f>
        <v>¡Tarea terminada!</v>
      </c>
      <c r="E146" s="23" t="str">
        <f>IFERROR(__xludf.DUMMYFUNCTION("GOOGLETRANSLATE(B146, ""en"", ""ru"")"),"Задача завершена!")</f>
        <v>Задача завершена!</v>
      </c>
      <c r="F146" s="23" t="str">
        <f>IFERROR(__xludf.DUMMYFUNCTION("GOOGLETRANSLATE(B146, ""en"", ""tr"")"),"Görev tamamlandı!")</f>
        <v>Görev tamamlandı!</v>
      </c>
      <c r="G146" s="23" t="str">
        <f>IFERROR(__xludf.DUMMYFUNCTION("GOOGLETRANSLATE(B146, ""en"", ""pt"")"),"Tarefa completa!")</f>
        <v>Tarefa completa!</v>
      </c>
      <c r="H146" s="24" t="str">
        <f>IFERROR(__xludf.DUMMYFUNCTION("GOOGLETRANSLATE(B146, ""en"", ""de"")"),"Aufgabe erledigt!")</f>
        <v>Aufgabe erledigt!</v>
      </c>
      <c r="I146" s="23" t="str">
        <f>IFERROR(__xludf.DUMMYFUNCTION("GOOGLETRANSLATE(B146, ""en"", ""pl"")"),"Zadanie ukończone!")</f>
        <v>Zadanie ukończone!</v>
      </c>
      <c r="J146" s="25" t="str">
        <f>IFERROR(__xludf.DUMMYFUNCTION("GOOGLETRANSLATE(B146, ""en"", ""zh"")"),"任务完成了！")</f>
        <v>任务完成了！</v>
      </c>
      <c r="K146" s="25" t="str">
        <f>IFERROR(__xludf.DUMMYFUNCTION("GOOGLETRANSLATE(B146, ""en"", ""vi"")"),"Nhiệm vụ hoàn thành!")</f>
        <v>Nhiệm vụ hoàn thành!</v>
      </c>
      <c r="L146" s="23" t="str">
        <f>IFERROR(__xludf.DUMMYFUNCTION("GOOGLETRANSLATE(B146, ""en"", ""hr"")"),"Zadatak dovršen!")</f>
        <v>Zadatak dovršen!</v>
      </c>
      <c r="M146" s="23"/>
      <c r="N146" s="26"/>
      <c r="O146" s="26"/>
      <c r="P146" s="26"/>
      <c r="Q146" s="26"/>
      <c r="R146" s="26"/>
      <c r="S146" s="26"/>
      <c r="T146" s="26"/>
      <c r="U146" s="26"/>
      <c r="V146" s="26"/>
      <c r="W146" s="26"/>
      <c r="X146" s="26"/>
      <c r="Y146" s="26"/>
      <c r="Z146" s="26"/>
      <c r="AA146" s="26"/>
      <c r="AB146" s="26"/>
    </row>
    <row r="147">
      <c r="A147" s="21" t="s">
        <v>354</v>
      </c>
      <c r="B147" s="22" t="s">
        <v>355</v>
      </c>
      <c r="C147" s="23" t="s">
        <v>356</v>
      </c>
      <c r="D147" s="23" t="str">
        <f>IFERROR(__xludf.DUMMYFUNCTION("GOOGLETRANSLATE(B147, ""en"", ""es"")"),"¡Muriste!")</f>
        <v>¡Muriste!</v>
      </c>
      <c r="E147" s="23" t="str">
        <f>IFERROR(__xludf.DUMMYFUNCTION("GOOGLETRANSLATE(B147, ""en"", ""ru"")"),"Вы умерли!")</f>
        <v>Вы умерли!</v>
      </c>
      <c r="F147" s="23" t="str">
        <f>IFERROR(__xludf.DUMMYFUNCTION("GOOGLETRANSLATE(B147, ""en"", ""tr"")"),"Öldün!")</f>
        <v>Öldün!</v>
      </c>
      <c r="G147" s="23" t="str">
        <f>IFERROR(__xludf.DUMMYFUNCTION("GOOGLETRANSLATE(B147, ""en"", ""pt"")"),"Você morreu!")</f>
        <v>Você morreu!</v>
      </c>
      <c r="H147" s="24" t="str">
        <f>IFERROR(__xludf.DUMMYFUNCTION("GOOGLETRANSLATE(B147, ""en"", ""de"")"),"Du bist gestorben!")</f>
        <v>Du bist gestorben!</v>
      </c>
      <c r="I147" s="23" t="str">
        <f>IFERROR(__xludf.DUMMYFUNCTION("GOOGLETRANSLATE(B147, ""en"", ""pl"")"),"Umarłeś!")</f>
        <v>Umarłeś!</v>
      </c>
      <c r="J147" s="25" t="str">
        <f>IFERROR(__xludf.DUMMYFUNCTION("GOOGLETRANSLATE(B147, ""en"", ""zh"")"),"你死了！")</f>
        <v>你死了！</v>
      </c>
      <c r="K147" s="25" t="str">
        <f>IFERROR(__xludf.DUMMYFUNCTION("GOOGLETRANSLATE(B147, ""en"", ""vi"")"),"Bạn đã chết!")</f>
        <v>Bạn đã chết!</v>
      </c>
      <c r="L147" s="23" t="str">
        <f>IFERROR(__xludf.DUMMYFUNCTION("GOOGLETRANSLATE(B147, ""en"", ""hr"")"),"Umrla si!")</f>
        <v>Umrla si!</v>
      </c>
      <c r="M147" s="23"/>
      <c r="N147" s="26"/>
      <c r="O147" s="26"/>
      <c r="P147" s="26"/>
      <c r="Q147" s="26"/>
      <c r="R147" s="26"/>
      <c r="S147" s="26"/>
      <c r="T147" s="26"/>
      <c r="U147" s="26"/>
      <c r="V147" s="26"/>
      <c r="W147" s="26"/>
      <c r="X147" s="26"/>
      <c r="Y147" s="26"/>
      <c r="Z147" s="26"/>
      <c r="AA147" s="26"/>
      <c r="AB147" s="26"/>
    </row>
    <row r="148">
      <c r="A148" s="21" t="s">
        <v>357</v>
      </c>
      <c r="B148" s="22" t="s">
        <v>358</v>
      </c>
      <c r="C148" s="23" t="s">
        <v>359</v>
      </c>
      <c r="D148" s="23" t="str">
        <f>IFERROR(__xludf.DUMMYFUNCTION("GOOGLETRANSLATE(B148, ""en"", ""es"")"),"Esté mejor preparado la próxima vez. Los artículos durarán más cuando se hagan con estadísticas de elaboración más altas.")</f>
        <v>Esté mejor preparado la próxima vez. Los artículos durarán más cuando se hagan con estadísticas de elaboración más altas.</v>
      </c>
      <c r="E148" s="23" t="str">
        <f>IFERROR(__xludf.DUMMYFUNCTION("GOOGLETRANSLATE(B148, ""en"", ""ru"")"),"Будьте лучше подготовлены в следующий раз. Предметы будут длиться дольше, когда сделано с более высокой статистикой крафта.")</f>
        <v>Будьте лучше подготовлены в следующий раз. Предметы будут длиться дольше, когда сделано с более высокой статистикой крафта.</v>
      </c>
      <c r="F148" s="23" t="str">
        <f>IFERROR(__xludf.DUMMYFUNCTION("GOOGLETRANSLATE(B148, ""en"", ""tr"")"),"Bir dahaki sefere daha iyi hazırlanın. Öğeler daha yüksek işçilik istatistikleriyle yapıldığında daha uzun sürecektir.")</f>
        <v>Bir dahaki sefere daha iyi hazırlanın. Öğeler daha yüksek işçilik istatistikleriyle yapıldığında daha uzun sürecektir.</v>
      </c>
      <c r="G148" s="23" t="str">
        <f>IFERROR(__xludf.DUMMYFUNCTION("GOOGLETRANSLATE(B148, ""en"", ""pt"")"),"Estar melhor preparado na próxima vez. Os itens durarão mais quando feitos com estatísticas de criação mais altas.")</f>
        <v>Estar melhor preparado na próxima vez. Os itens durarão mais quando feitos com estatísticas de criação mais altas.</v>
      </c>
      <c r="H148" s="24" t="str">
        <f>IFERROR(__xludf.DUMMYFUNCTION("GOOGLETRANSLATE(B148, ""en"", ""de"")"),"Seien Sie das nächste Mal besser vorbereitet. Die Artikel dauern länger, wenn sie mit höheren Handwerksstatistiken hergestellt werden.")</f>
        <v>Seien Sie das nächste Mal besser vorbereitet. Die Artikel dauern länger, wenn sie mit höheren Handwerksstatistiken hergestellt werden.</v>
      </c>
      <c r="I148" s="23" t="str">
        <f>IFERROR(__xludf.DUMMYFUNCTION("GOOGLETRANSLATE(B148, ""en"", ""pl"")"),"Bądź lepiej przygotowany następnym razem. Przedmioty będą trwać dłużej, gdy zostanie wykonane z wyższymi statystykami rzemieślniczymi.")</f>
        <v>Bądź lepiej przygotowany następnym razem. Przedmioty będą trwać dłużej, gdy zostanie wykonane z wyższymi statystykami rzemieślniczymi.</v>
      </c>
      <c r="J148" s="25" t="str">
        <f>IFERROR(__xludf.DUMMYFUNCTION("GOOGLETRANSLATE(B148, ""en"", ""zh"")"),"下次做好准备。用更高的制作统计数据制成时，项目将持续更长的时间。")</f>
        <v>下次做好准备。用更高的制作统计数据制成时，项目将持续更长的时间。</v>
      </c>
      <c r="K148" s="25" t="str">
        <f>IFERROR(__xludf.DUMMYFUNCTION("GOOGLETRANSLATE(B148, ""en"", ""vi"")"),"Hãy chuẩn bị tốt hơn vào lần tới. Các mặt hàng sẽ tồn tại lâu hơn khi được thực hiện với số liệu thống kê chế tạo cao hơn.")</f>
        <v>Hãy chuẩn bị tốt hơn vào lần tới. Các mặt hàng sẽ tồn tại lâu hơn khi được thực hiện với số liệu thống kê chế tạo cao hơn.</v>
      </c>
      <c r="L148" s="23" t="str">
        <f>IFERROR(__xludf.DUMMYFUNCTION("GOOGLETRANSLATE(B148, ""en"", ""hr"")"),"Budite bolje pripremljeni sljedeći put. Predmeti će trajati duže kada se izrađuju s višim statistikama za izradu.")</f>
        <v>Budite bolje pripremljeni sljedeći put. Predmeti će trajati duže kada se izrađuju s višim statistikama za izradu.</v>
      </c>
      <c r="M148" s="23"/>
      <c r="N148" s="26"/>
      <c r="O148" s="26"/>
      <c r="P148" s="26"/>
      <c r="Q148" s="26"/>
      <c r="R148" s="26"/>
      <c r="S148" s="26"/>
      <c r="T148" s="26"/>
      <c r="U148" s="26"/>
      <c r="V148" s="26"/>
      <c r="W148" s="26"/>
      <c r="X148" s="26"/>
      <c r="Y148" s="26"/>
      <c r="Z148" s="26"/>
      <c r="AA148" s="26"/>
      <c r="AB148" s="26"/>
    </row>
    <row r="149">
      <c r="A149" s="21" t="s">
        <v>360</v>
      </c>
      <c r="B149" s="22" t="s">
        <v>361</v>
      </c>
      <c r="C149" s="23" t="s">
        <v>362</v>
      </c>
      <c r="D149" s="23" t="str">
        <f>IFERROR(__xludf.DUMMYFUNCTION("GOOGLETRANSLATE(B149, ""en"", ""es"")"),"Intente trabajar con otros jugadores cuando haga algo peligroso.")</f>
        <v>Intente trabajar con otros jugadores cuando haga algo peligroso.</v>
      </c>
      <c r="E149" s="23" t="str">
        <f>IFERROR(__xludf.DUMMYFUNCTION("GOOGLETRANSLATE(B149, ""en"", ""ru"")"),"Попробуйте работать с другими игроками, когда делаете что -то опасное.")</f>
        <v>Попробуйте работать с другими игроками, когда делаете что -то опасное.</v>
      </c>
      <c r="F149" s="23" t="str">
        <f>IFERROR(__xludf.DUMMYFUNCTION("GOOGLETRANSLATE(B149, ""en"", ""tr"")"),"Tehlikeli bir şey yaparken diğer oyuncularla çalışmayı deneyin.")</f>
        <v>Tehlikeli bir şey yaparken diğer oyuncularla çalışmayı deneyin.</v>
      </c>
      <c r="G149" s="23" t="str">
        <f>IFERROR(__xludf.DUMMYFUNCTION("GOOGLETRANSLATE(B149, ""en"", ""pt"")"),"Tente trabalhar com outros jogadores ao fazer algo perigoso.")</f>
        <v>Tente trabalhar com outros jogadores ao fazer algo perigoso.</v>
      </c>
      <c r="H149" s="24" t="str">
        <f>IFERROR(__xludf.DUMMYFUNCTION("GOOGLETRANSLATE(B149, ""en"", ""de"")"),"Versuchen Sie, mit anderen Spielern zusammenzuarbeiten, wenn Sie etwas Gefährliches tun.")</f>
        <v>Versuchen Sie, mit anderen Spielern zusammenzuarbeiten, wenn Sie etwas Gefährliches tun.</v>
      </c>
      <c r="I149" s="23" t="str">
        <f>IFERROR(__xludf.DUMMYFUNCTION("GOOGLETRANSLATE(B149, ""en"", ""pl"")"),"Spróbuj współpracować z innymi graczami, robiąc coś niebezpiecznego.")</f>
        <v>Spróbuj współpracować z innymi graczami, robiąc coś niebezpiecznego.</v>
      </c>
      <c r="J149" s="25" t="str">
        <f>IFERROR(__xludf.DUMMYFUNCTION("GOOGLETRANSLATE(B149, ""en"", ""zh"")"),"在做危险的事情时，尝试与其他玩家一起工作。")</f>
        <v>在做危险的事情时，尝试与其他玩家一起工作。</v>
      </c>
      <c r="K149" s="25" t="str">
        <f>IFERROR(__xludf.DUMMYFUNCTION("GOOGLETRANSLATE(B149, ""en"", ""vi"")"),"Hãy thử làm việc với những người chơi khác khi làm điều gì đó nguy hiểm.")</f>
        <v>Hãy thử làm việc với những người chơi khác khi làm điều gì đó nguy hiểm.</v>
      </c>
      <c r="L149" s="23" t="str">
        <f>IFERROR(__xludf.DUMMYFUNCTION("GOOGLETRANSLATE(B149, ""en"", ""hr"")"),"Pokušajte raditi s drugim igračima kada radite nešto opasno.")</f>
        <v>Pokušajte raditi s drugim igračima kada radite nešto opasno.</v>
      </c>
      <c r="M149" s="23"/>
      <c r="N149" s="26"/>
      <c r="O149" s="26"/>
      <c r="P149" s="26"/>
      <c r="Q149" s="26"/>
      <c r="R149" s="26"/>
      <c r="S149" s="26"/>
      <c r="T149" s="26"/>
      <c r="U149" s="26"/>
      <c r="V149" s="26"/>
      <c r="W149" s="26"/>
      <c r="X149" s="26"/>
      <c r="Y149" s="26"/>
      <c r="Z149" s="26"/>
      <c r="AA149" s="26"/>
      <c r="AB149" s="26"/>
    </row>
    <row r="150">
      <c r="A150" s="21" t="s">
        <v>363</v>
      </c>
      <c r="B150" s="22" t="s">
        <v>364</v>
      </c>
      <c r="C150" s="23" t="s">
        <v>365</v>
      </c>
      <c r="D150" s="23" t="str">
        <f>IFERROR(__xludf.DUMMYFUNCTION("GOOGLETRANSLATE(B150, ""en"", ""es"")"),"Muchas criaturas peligrosas solo aparecen por la noche.")</f>
        <v>Muchas criaturas peligrosas solo aparecen por la noche.</v>
      </c>
      <c r="E150" s="23" t="str">
        <f>IFERROR(__xludf.DUMMYFUNCTION("GOOGLETRANSLATE(B150, ""en"", ""ru"")"),"Многие опасные существа появляются только ночью.")</f>
        <v>Многие опасные существа появляются только ночью.</v>
      </c>
      <c r="F150" s="23" t="str">
        <f>IFERROR(__xludf.DUMMYFUNCTION("GOOGLETRANSLATE(B150, ""en"", ""tr"")"),"Birçok tehlikeli yaratık sadece geceleri ortaya çıkar.")</f>
        <v>Birçok tehlikeli yaratık sadece geceleri ortaya çıkar.</v>
      </c>
      <c r="G150" s="23" t="str">
        <f>IFERROR(__xludf.DUMMYFUNCTION("GOOGLETRANSLATE(B150, ""en"", ""pt"")"),"Muitas criaturas perigosas só aparecem à noite.")</f>
        <v>Muitas criaturas perigosas só aparecem à noite.</v>
      </c>
      <c r="H150" s="24" t="str">
        <f>IFERROR(__xludf.DUMMYFUNCTION("GOOGLETRANSLATE(B150, ""en"", ""de"")"),"Viele gefährliche Kreaturen erscheinen nur nachts.")</f>
        <v>Viele gefährliche Kreaturen erscheinen nur nachts.</v>
      </c>
      <c r="I150" s="23" t="str">
        <f>IFERROR(__xludf.DUMMYFUNCTION("GOOGLETRANSLATE(B150, ""en"", ""pl"")"),"Wiele niebezpiecznych stworzeń pojawia się tylko w nocy.")</f>
        <v>Wiele niebezpiecznych stworzeń pojawia się tylko w nocy.</v>
      </c>
      <c r="J150" s="25" t="str">
        <f>IFERROR(__xludf.DUMMYFUNCTION("GOOGLETRANSLATE(B150, ""en"", ""zh"")"),"许多危险生物只会在晚上出现。")</f>
        <v>许多危险生物只会在晚上出现。</v>
      </c>
      <c r="K150" s="25" t="str">
        <f>IFERROR(__xludf.DUMMYFUNCTION("GOOGLETRANSLATE(B150, ""en"", ""vi"")"),"Nhiều sinh vật nguy hiểm chỉ xuất hiện vào ban đêm.")</f>
        <v>Nhiều sinh vật nguy hiểm chỉ xuất hiện vào ban đêm.</v>
      </c>
      <c r="L150" s="23" t="str">
        <f>IFERROR(__xludf.DUMMYFUNCTION("GOOGLETRANSLATE(B150, ""en"", ""hr"")"),"Mnoga opasna stvorenja pojavljuju se samo noću.")</f>
        <v>Mnoga opasna stvorenja pojavljuju se samo noću.</v>
      </c>
      <c r="M150" s="23"/>
      <c r="N150" s="26"/>
      <c r="O150" s="26"/>
      <c r="P150" s="26"/>
      <c r="Q150" s="26"/>
      <c r="R150" s="26"/>
      <c r="S150" s="26"/>
      <c r="T150" s="26"/>
      <c r="U150" s="26"/>
      <c r="V150" s="26"/>
      <c r="W150" s="26"/>
      <c r="X150" s="26"/>
      <c r="Y150" s="26"/>
      <c r="Z150" s="26"/>
      <c r="AA150" s="26"/>
      <c r="AB150" s="26"/>
    </row>
    <row r="151">
      <c r="A151" s="21" t="s">
        <v>366</v>
      </c>
      <c r="B151" s="22" t="s">
        <v>366</v>
      </c>
      <c r="C151" s="23" t="s">
        <v>367</v>
      </c>
      <c r="D151" s="23" t="str">
        <f>IFERROR(__xludf.DUMMYFUNCTION("GOOGLETRANSLATE(B151, ""en"", ""es"")"),"Reaparición")</f>
        <v>Reaparición</v>
      </c>
      <c r="E151" s="23" t="str">
        <f>IFERROR(__xludf.DUMMYFUNCTION("GOOGLETRANSLATE(B151, ""en"", ""ru"")"),"респаун")</f>
        <v>респаун</v>
      </c>
      <c r="F151" s="23" t="str">
        <f>IFERROR(__xludf.DUMMYFUNCTION("GOOGLETRANSLATE(B151, ""en"", ""tr"")"),"yeniden doğma")</f>
        <v>yeniden doğma</v>
      </c>
      <c r="G151" s="23" t="str">
        <f>IFERROR(__xludf.DUMMYFUNCTION("GOOGLETRANSLATE(B151, ""en"", ""pt"")"),"reaparecimento")</f>
        <v>reaparecimento</v>
      </c>
      <c r="H151" s="24" t="str">
        <f>IFERROR(__xludf.DUMMYFUNCTION("GOOGLETRANSLATE(B151, ""en"", ""de"")"),"Respawnen")</f>
        <v>Respawnen</v>
      </c>
      <c r="I151" s="23" t="str">
        <f>IFERROR(__xludf.DUMMYFUNCTION("GOOGLETRANSLATE(B151, ""en"", ""pl"")"),"Odradzać")</f>
        <v>Odradzać</v>
      </c>
      <c r="J151" s="25" t="str">
        <f>IFERROR(__xludf.DUMMYFUNCTION("GOOGLETRANSLATE(B151, ""en"", ""zh"")"),"重生")</f>
        <v>重生</v>
      </c>
      <c r="K151" s="25" t="str">
        <f>IFERROR(__xludf.DUMMYFUNCTION("GOOGLETRANSLATE(B151, ""en"", ""vi"")"),"Hồi sinh")</f>
        <v>Hồi sinh</v>
      </c>
      <c r="L151" s="23" t="str">
        <f>IFERROR(__xludf.DUMMYFUNCTION("GOOGLETRANSLATE(B151, ""en"", ""hr"")"),"Ponovno nastup")</f>
        <v>Ponovno nastup</v>
      </c>
      <c r="M151" s="23"/>
      <c r="N151" s="26"/>
      <c r="O151" s="26"/>
      <c r="P151" s="26"/>
      <c r="Q151" s="26"/>
      <c r="R151" s="26"/>
      <c r="S151" s="26"/>
      <c r="T151" s="26"/>
      <c r="U151" s="26"/>
      <c r="V151" s="26"/>
      <c r="W151" s="26"/>
      <c r="X151" s="26"/>
      <c r="Y151" s="26"/>
      <c r="Z151" s="26"/>
      <c r="AA151" s="26"/>
      <c r="AB151" s="26"/>
    </row>
    <row r="152">
      <c r="A152" s="21" t="s">
        <v>368</v>
      </c>
      <c r="B152" s="22" t="s">
        <v>368</v>
      </c>
      <c r="C152" s="23" t="str">
        <f>IFERROR(__xludf.DUMMYFUNCTION("GOOGLETRANSLATE(B152, ""en"", ""fr"")"),"Donjon")</f>
        <v>Donjon</v>
      </c>
      <c r="D152" s="23" t="str">
        <f>IFERROR(__xludf.DUMMYFUNCTION("GOOGLETRANSLATE(B152, ""en"", ""es"")"),"Calabozo")</f>
        <v>Calabozo</v>
      </c>
      <c r="E152" s="23" t="str">
        <f>IFERROR(__xludf.DUMMYFUNCTION("GOOGLETRANSLATE(B152, ""en"", ""ru"")"),"Темница")</f>
        <v>Темница</v>
      </c>
      <c r="F152" s="23" t="str">
        <f>IFERROR(__xludf.DUMMYFUNCTION("GOOGLETRANSLATE(B152, ""en"", ""tr"")"),"Zindan")</f>
        <v>Zindan</v>
      </c>
      <c r="G152" s="23" t="str">
        <f>IFERROR(__xludf.DUMMYFUNCTION("GOOGLETRANSLATE(B152, ""en"", ""pt"")"),"Masmorra")</f>
        <v>Masmorra</v>
      </c>
      <c r="H152" s="24" t="str">
        <f>IFERROR(__xludf.DUMMYFUNCTION("GOOGLETRANSLATE(B152, ""en"", ""de"")"),"Verlies")</f>
        <v>Verlies</v>
      </c>
      <c r="I152" s="23" t="str">
        <f>IFERROR(__xludf.DUMMYFUNCTION("GOOGLETRANSLATE(B152, ""en"", ""pl"")"),"Loch")</f>
        <v>Loch</v>
      </c>
      <c r="J152" s="25" t="str">
        <f>IFERROR(__xludf.DUMMYFUNCTION("GOOGLETRANSLATE(B152, ""en"", ""zh"")"),"地牢")</f>
        <v>地牢</v>
      </c>
      <c r="K152" s="25" t="str">
        <f>IFERROR(__xludf.DUMMYFUNCTION("GOOGLETRANSLATE(B152, ""en"", ""vi"")"),"Ngục tối")</f>
        <v>Ngục tối</v>
      </c>
      <c r="L152" s="23" t="str">
        <f>IFERROR(__xludf.DUMMYFUNCTION("GOOGLETRANSLATE(B152, ""en"", ""hr"")"),"Tamnica")</f>
        <v>Tamnica</v>
      </c>
      <c r="M152" s="23"/>
      <c r="N152" s="26"/>
      <c r="O152" s="26"/>
      <c r="P152" s="26"/>
      <c r="Q152" s="26"/>
      <c r="R152" s="26"/>
      <c r="S152" s="26"/>
      <c r="T152" s="26"/>
      <c r="U152" s="26"/>
      <c r="V152" s="26"/>
      <c r="W152" s="26"/>
      <c r="X152" s="26"/>
      <c r="Y152" s="26"/>
      <c r="Z152" s="26"/>
      <c r="AA152" s="26"/>
      <c r="AB152" s="26"/>
    </row>
    <row r="153">
      <c r="A153" s="21" t="s">
        <v>369</v>
      </c>
      <c r="B153" s="22" t="s">
        <v>369</v>
      </c>
      <c r="C153" s="23" t="str">
        <f>IFERROR(__xludf.DUMMYFUNCTION("GOOGLETRANSLATE(B153, ""en"", ""fr"")"),"Difficulté")</f>
        <v>Difficulté</v>
      </c>
      <c r="D153" s="23" t="str">
        <f>IFERROR(__xludf.DUMMYFUNCTION("GOOGLETRANSLATE(B153, ""en"", ""es"")"),"Dificultad")</f>
        <v>Dificultad</v>
      </c>
      <c r="E153" s="23" t="str">
        <f>IFERROR(__xludf.DUMMYFUNCTION("GOOGLETRANSLATE(B153, ""en"", ""ru"")"),"Трудность")</f>
        <v>Трудность</v>
      </c>
      <c r="F153" s="23" t="str">
        <f>IFERROR(__xludf.DUMMYFUNCTION("GOOGLETRANSLATE(B153, ""en"", ""tr"")"),"Zorluk")</f>
        <v>Zorluk</v>
      </c>
      <c r="G153" s="23" t="str">
        <f>IFERROR(__xludf.DUMMYFUNCTION("GOOGLETRANSLATE(B153, ""en"", ""pt"")"),"Dificuldade")</f>
        <v>Dificuldade</v>
      </c>
      <c r="H153" s="24" t="str">
        <f>IFERROR(__xludf.DUMMYFUNCTION("GOOGLETRANSLATE(B153, ""en"", ""de"")"),"Schwierigkeit")</f>
        <v>Schwierigkeit</v>
      </c>
      <c r="I153" s="23" t="str">
        <f>IFERROR(__xludf.DUMMYFUNCTION("GOOGLETRANSLATE(B153, ""en"", ""pl"")"),"Trudność")</f>
        <v>Trudność</v>
      </c>
      <c r="J153" s="25" t="str">
        <f>IFERROR(__xludf.DUMMYFUNCTION("GOOGLETRANSLATE(B153, ""en"", ""zh"")"),"困难")</f>
        <v>困难</v>
      </c>
      <c r="K153" s="25" t="str">
        <f>IFERROR(__xludf.DUMMYFUNCTION("GOOGLETRANSLATE(B153, ""en"", ""vi"")"),"Sự khó khăn")</f>
        <v>Sự khó khăn</v>
      </c>
      <c r="L153" s="23" t="str">
        <f>IFERROR(__xludf.DUMMYFUNCTION("GOOGLETRANSLATE(B153, ""en"", ""hr"")"),"Poteškoća")</f>
        <v>Poteškoća</v>
      </c>
      <c r="M153" s="23"/>
      <c r="N153" s="26"/>
      <c r="O153" s="26"/>
      <c r="P153" s="26"/>
      <c r="Q153" s="26"/>
      <c r="R153" s="26"/>
      <c r="S153" s="26"/>
      <c r="T153" s="26"/>
      <c r="U153" s="26"/>
      <c r="V153" s="26"/>
      <c r="W153" s="26"/>
      <c r="X153" s="26"/>
      <c r="Y153" s="26"/>
      <c r="Z153" s="26"/>
      <c r="AA153" s="26"/>
      <c r="AB153" s="26"/>
    </row>
    <row r="154">
      <c r="A154" s="21" t="s">
        <v>370</v>
      </c>
      <c r="B154" s="22" t="s">
        <v>370</v>
      </c>
      <c r="C154" s="23" t="str">
        <f>IFERROR(__xludf.DUMMYFUNCTION("GOOGLETRANSLATE(B154, ""en"", ""fr"")"),"Débutant")</f>
        <v>Débutant</v>
      </c>
      <c r="D154" s="23" t="str">
        <f>IFERROR(__xludf.DUMMYFUNCTION("GOOGLETRANSLATE(B154, ""en"", ""es"")"),"Principiante")</f>
        <v>Principiante</v>
      </c>
      <c r="E154" s="23" t="str">
        <f>IFERROR(__xludf.DUMMYFUNCTION("GOOGLETRANSLATE(B154, ""en"", ""ru"")"),"Новичок")</f>
        <v>Новичок</v>
      </c>
      <c r="F154" s="23" t="str">
        <f>IFERROR(__xludf.DUMMYFUNCTION("GOOGLETRANSLATE(B154, ""en"", ""tr"")"),"Acemi")</f>
        <v>Acemi</v>
      </c>
      <c r="G154" s="23" t="str">
        <f>IFERROR(__xludf.DUMMYFUNCTION("GOOGLETRANSLATE(B154, ""en"", ""pt"")"),"Principiante")</f>
        <v>Principiante</v>
      </c>
      <c r="H154" s="24" t="str">
        <f>IFERROR(__xludf.DUMMYFUNCTION("GOOGLETRANSLATE(B154, ""en"", ""de"")"),"Anfänger")</f>
        <v>Anfänger</v>
      </c>
      <c r="I154" s="23" t="str">
        <f>IFERROR(__xludf.DUMMYFUNCTION("GOOGLETRANSLATE(B154, ""en"", ""pl"")"),"Początkujący")</f>
        <v>Początkujący</v>
      </c>
      <c r="J154" s="25" t="str">
        <f>IFERROR(__xludf.DUMMYFUNCTION("GOOGLETRANSLATE(B154, ""en"", ""zh"")"),"初学者")</f>
        <v>初学者</v>
      </c>
      <c r="K154" s="25" t="str">
        <f>IFERROR(__xludf.DUMMYFUNCTION("GOOGLETRANSLATE(B154, ""en"", ""vi"")"),"Người bắt đầu")</f>
        <v>Người bắt đầu</v>
      </c>
      <c r="L154" s="23" t="str">
        <f>IFERROR(__xludf.DUMMYFUNCTION("GOOGLETRANSLATE(B154, ""en"", ""hr"")"),"Početnik")</f>
        <v>Početnik</v>
      </c>
      <c r="M154" s="23"/>
      <c r="N154" s="26"/>
      <c r="O154" s="26"/>
      <c r="P154" s="26"/>
      <c r="Q154" s="26"/>
      <c r="R154" s="26"/>
      <c r="S154" s="26"/>
      <c r="T154" s="26"/>
      <c r="U154" s="26"/>
      <c r="V154" s="26"/>
      <c r="W154" s="26"/>
      <c r="X154" s="26"/>
      <c r="Y154" s="26"/>
      <c r="Z154" s="26"/>
      <c r="AA154" s="26"/>
      <c r="AB154" s="26"/>
    </row>
    <row r="155">
      <c r="A155" s="21" t="s">
        <v>371</v>
      </c>
      <c r="B155" s="22" t="s">
        <v>371</v>
      </c>
      <c r="C155" s="23" t="str">
        <f>IFERROR(__xludf.DUMMYFUNCTION("GOOGLETRANSLATE(B155, ""en"", ""fr"")"),"Avancé")</f>
        <v>Avancé</v>
      </c>
      <c r="D155" s="23" t="str">
        <f>IFERROR(__xludf.DUMMYFUNCTION("GOOGLETRANSLATE(B155, ""en"", ""es"")"),"Avanzado")</f>
        <v>Avanzado</v>
      </c>
      <c r="E155" s="23" t="str">
        <f>IFERROR(__xludf.DUMMYFUNCTION("GOOGLETRANSLATE(B155, ""en"", ""ru"")"),"Передовой")</f>
        <v>Передовой</v>
      </c>
      <c r="F155" s="23" t="str">
        <f>IFERROR(__xludf.DUMMYFUNCTION("GOOGLETRANSLATE(B155, ""en"", ""tr"")"),"Gelişmiş")</f>
        <v>Gelişmiş</v>
      </c>
      <c r="G155" s="23" t="str">
        <f>IFERROR(__xludf.DUMMYFUNCTION("GOOGLETRANSLATE(B155, ""en"", ""pt"")"),"Avançado")</f>
        <v>Avançado</v>
      </c>
      <c r="H155" s="24" t="str">
        <f>IFERROR(__xludf.DUMMYFUNCTION("GOOGLETRANSLATE(B155, ""en"", ""de"")"),"Fortschrittlich")</f>
        <v>Fortschrittlich</v>
      </c>
      <c r="I155" s="23" t="str">
        <f>IFERROR(__xludf.DUMMYFUNCTION("GOOGLETRANSLATE(B155, ""en"", ""pl"")"),"Zaawansowany")</f>
        <v>Zaawansowany</v>
      </c>
      <c r="J155" s="25" t="str">
        <f>IFERROR(__xludf.DUMMYFUNCTION("GOOGLETRANSLATE(B155, ""en"", ""zh"")"),"先进的")</f>
        <v>先进的</v>
      </c>
      <c r="K155" s="25" t="str">
        <f>IFERROR(__xludf.DUMMYFUNCTION("GOOGLETRANSLATE(B155, ""en"", ""vi"")"),"Nâng cao")</f>
        <v>Nâng cao</v>
      </c>
      <c r="L155" s="23" t="str">
        <f>IFERROR(__xludf.DUMMYFUNCTION("GOOGLETRANSLATE(B155, ""en"", ""hr"")"),"Napredna")</f>
        <v>Napredna</v>
      </c>
      <c r="M155" s="23"/>
      <c r="N155" s="26"/>
      <c r="O155" s="26"/>
      <c r="P155" s="26"/>
      <c r="Q155" s="26"/>
      <c r="R155" s="26"/>
      <c r="S155" s="26"/>
      <c r="T155" s="26"/>
      <c r="U155" s="26"/>
      <c r="V155" s="26"/>
      <c r="W155" s="26"/>
      <c r="X155" s="26"/>
      <c r="Y155" s="26"/>
      <c r="Z155" s="26"/>
      <c r="AA155" s="26"/>
      <c r="AB155" s="26"/>
    </row>
    <row r="156">
      <c r="A156" s="21" t="s">
        <v>372</v>
      </c>
      <c r="B156" s="22" t="s">
        <v>372</v>
      </c>
      <c r="C156" s="23" t="str">
        <f>IFERROR(__xludf.DUMMYFUNCTION("GOOGLETRANSLATE(B156, ""en"", ""fr"")"),"Expert")</f>
        <v>Expert</v>
      </c>
      <c r="D156" s="23" t="str">
        <f>IFERROR(__xludf.DUMMYFUNCTION("GOOGLETRANSLATE(B156, ""en"", ""es"")"),"Experto")</f>
        <v>Experto</v>
      </c>
      <c r="E156" s="23" t="str">
        <f>IFERROR(__xludf.DUMMYFUNCTION("GOOGLETRANSLATE(B156, ""en"", ""ru"")"),"Эксперт")</f>
        <v>Эксперт</v>
      </c>
      <c r="F156" s="23" t="str">
        <f>IFERROR(__xludf.DUMMYFUNCTION("GOOGLETRANSLATE(B156, ""en"", ""tr"")"),"Uzman")</f>
        <v>Uzman</v>
      </c>
      <c r="G156" s="23" t="str">
        <f>IFERROR(__xludf.DUMMYFUNCTION("GOOGLETRANSLATE(B156, ""en"", ""pt"")"),"Especialista")</f>
        <v>Especialista</v>
      </c>
      <c r="H156" s="24" t="str">
        <f>IFERROR(__xludf.DUMMYFUNCTION("GOOGLETRANSLATE(B156, ""en"", ""de"")"),"Experte")</f>
        <v>Experte</v>
      </c>
      <c r="I156" s="23" t="str">
        <f>IFERROR(__xludf.DUMMYFUNCTION("GOOGLETRANSLATE(B156, ""en"", ""pl"")"),"Ekspert")</f>
        <v>Ekspert</v>
      </c>
      <c r="J156" s="25" t="str">
        <f>IFERROR(__xludf.DUMMYFUNCTION("GOOGLETRANSLATE(B156, ""en"", ""zh"")"),"专家")</f>
        <v>专家</v>
      </c>
      <c r="K156" s="25" t="str">
        <f>IFERROR(__xludf.DUMMYFUNCTION("GOOGLETRANSLATE(B156, ""en"", ""vi"")"),"Chuyên gia")</f>
        <v>Chuyên gia</v>
      </c>
      <c r="L156" s="23" t="str">
        <f>IFERROR(__xludf.DUMMYFUNCTION("GOOGLETRANSLATE(B156, ""en"", ""hr"")"),"Stručnjak")</f>
        <v>Stručnjak</v>
      </c>
      <c r="M156" s="23"/>
      <c r="N156" s="26"/>
      <c r="O156" s="26"/>
      <c r="P156" s="26"/>
      <c r="Q156" s="26"/>
      <c r="R156" s="26"/>
      <c r="S156" s="26"/>
      <c r="T156" s="26"/>
      <c r="U156" s="26"/>
      <c r="V156" s="26"/>
      <c r="W156" s="26"/>
      <c r="X156" s="26"/>
      <c r="Y156" s="26"/>
      <c r="Z156" s="26"/>
      <c r="AA156" s="26"/>
      <c r="AB156" s="26"/>
    </row>
    <row r="157">
      <c r="A157" s="21" t="s">
        <v>373</v>
      </c>
      <c r="B157" s="22" t="s">
        <v>373</v>
      </c>
      <c r="C157" s="23" t="str">
        <f>IFERROR(__xludf.DUMMYFUNCTION("GOOGLETRANSLATE(B157, ""en"", ""fr"")"),"Maître")</f>
        <v>Maître</v>
      </c>
      <c r="D157" s="23" t="str">
        <f>IFERROR(__xludf.DUMMYFUNCTION("GOOGLETRANSLATE(B157, ""en"", ""es"")"),"Maestro")</f>
        <v>Maestro</v>
      </c>
      <c r="E157" s="23" t="str">
        <f>IFERROR(__xludf.DUMMYFUNCTION("GOOGLETRANSLATE(B157, ""en"", ""ru"")"),"Мастер")</f>
        <v>Мастер</v>
      </c>
      <c r="F157" s="23" t="str">
        <f>IFERROR(__xludf.DUMMYFUNCTION("GOOGLETRANSLATE(B157, ""en"", ""tr"")"),"Usta")</f>
        <v>Usta</v>
      </c>
      <c r="G157" s="23" t="str">
        <f>IFERROR(__xludf.DUMMYFUNCTION("GOOGLETRANSLATE(B157, ""en"", ""pt"")"),"Mestre")</f>
        <v>Mestre</v>
      </c>
      <c r="H157" s="24" t="str">
        <f>IFERROR(__xludf.DUMMYFUNCTION("GOOGLETRANSLATE(B157, ""en"", ""de"")"),"Meister")</f>
        <v>Meister</v>
      </c>
      <c r="I157" s="23" t="str">
        <f>IFERROR(__xludf.DUMMYFUNCTION("GOOGLETRANSLATE(B157, ""en"", ""pl"")"),"Gospodarz")</f>
        <v>Gospodarz</v>
      </c>
      <c r="J157" s="25" t="str">
        <f>IFERROR(__xludf.DUMMYFUNCTION("GOOGLETRANSLATE(B157, ""en"", ""zh"")"),"掌握")</f>
        <v>掌握</v>
      </c>
      <c r="K157" s="25" t="str">
        <f>IFERROR(__xludf.DUMMYFUNCTION("GOOGLETRANSLATE(B157, ""en"", ""vi"")"),"Bậc thầy")</f>
        <v>Bậc thầy</v>
      </c>
      <c r="L157" s="23" t="str">
        <f>IFERROR(__xludf.DUMMYFUNCTION("GOOGLETRANSLATE(B157, ""en"", ""hr"")"),"Ovladati; majstorski")</f>
        <v>Ovladati; majstorski</v>
      </c>
      <c r="M157" s="23"/>
      <c r="N157" s="26"/>
      <c r="O157" s="26"/>
      <c r="P157" s="26"/>
      <c r="Q157" s="26"/>
      <c r="R157" s="26"/>
      <c r="S157" s="26"/>
      <c r="T157" s="26"/>
      <c r="U157" s="26"/>
      <c r="V157" s="26"/>
      <c r="W157" s="26"/>
      <c r="X157" s="26"/>
      <c r="Y157" s="26"/>
      <c r="Z157" s="26"/>
      <c r="AA157" s="26"/>
      <c r="AB157" s="26"/>
    </row>
    <row r="158">
      <c r="A158" s="21" t="s">
        <v>374</v>
      </c>
      <c r="B158" s="22" t="s">
        <v>374</v>
      </c>
      <c r="C158" s="23" t="str">
        <f>IFERROR(__xludf.DUMMYFUNCTION("GOOGLETRANSLATE(B158, ""en"", ""fr"")"),"Coût d'entrée")</f>
        <v>Coût d'entrée</v>
      </c>
      <c r="D158" s="23" t="str">
        <f>IFERROR(__xludf.DUMMYFUNCTION("GOOGLETRANSLATE(B158, ""en"", ""es"")"),"Costo de entrada")</f>
        <v>Costo de entrada</v>
      </c>
      <c r="E158" s="23" t="str">
        <f>IFERROR(__xludf.DUMMYFUNCTION("GOOGLETRANSLATE(B158, ""en"", ""ru"")"),"Стоимость входа")</f>
        <v>Стоимость входа</v>
      </c>
      <c r="F158" s="23" t="str">
        <f>IFERROR(__xludf.DUMMYFUNCTION("GOOGLETRANSLATE(B158, ""en"", ""tr"")"),"Giriş maliyeti")</f>
        <v>Giriş maliyeti</v>
      </c>
      <c r="G158" s="23" t="str">
        <f>IFERROR(__xludf.DUMMYFUNCTION("GOOGLETRANSLATE(B158, ""en"", ""pt"")"),"Custo de entrada")</f>
        <v>Custo de entrada</v>
      </c>
      <c r="H158" s="24" t="str">
        <f>IFERROR(__xludf.DUMMYFUNCTION("GOOGLETRANSLATE(B158, ""en"", ""de"")"),"Eintrittskosten")</f>
        <v>Eintrittskosten</v>
      </c>
      <c r="I158" s="23" t="str">
        <f>IFERROR(__xludf.DUMMYFUNCTION("GOOGLETRANSLATE(B158, ""en"", ""pl"")"),"Koszt wejścia")</f>
        <v>Koszt wejścia</v>
      </c>
      <c r="J158" s="25" t="str">
        <f>IFERROR(__xludf.DUMMYFUNCTION("GOOGLETRANSLATE(B158, ""en"", ""zh"")"),"入门费用")</f>
        <v>入门费用</v>
      </c>
      <c r="K158" s="25" t="str">
        <f>IFERROR(__xludf.DUMMYFUNCTION("GOOGLETRANSLATE(B158, ""en"", ""vi"")"),"Chi phí nhập cảnh")</f>
        <v>Chi phí nhập cảnh</v>
      </c>
      <c r="L158" s="23" t="str">
        <f>IFERROR(__xludf.DUMMYFUNCTION("GOOGLETRANSLATE(B158, ""en"", ""hr"")"),"Trošak unosa")</f>
        <v>Trošak unosa</v>
      </c>
      <c r="M158" s="23"/>
      <c r="N158" s="26"/>
      <c r="O158" s="26"/>
      <c r="P158" s="26"/>
      <c r="Q158" s="26"/>
      <c r="R158" s="26"/>
      <c r="S158" s="26"/>
      <c r="T158" s="26"/>
      <c r="U158" s="26"/>
      <c r="V158" s="26"/>
      <c r="W158" s="26"/>
      <c r="X158" s="26"/>
      <c r="Y158" s="26"/>
      <c r="Z158" s="26"/>
      <c r="AA158" s="26"/>
      <c r="AB158" s="26"/>
    </row>
    <row r="159">
      <c r="A159" s="21" t="s">
        <v>375</v>
      </c>
      <c r="B159" s="22" t="s">
        <v>375</v>
      </c>
      <c r="C159" s="29" t="s">
        <v>376</v>
      </c>
      <c r="D159" s="23" t="str">
        <f>IFERROR(__xludf.DUMMYFUNCTION("GOOGLETRANSLATE(B159, ""en"", ""es"")"),"jugadores máximos")</f>
        <v>jugadores máximos</v>
      </c>
      <c r="E159" s="23" t="str">
        <f>IFERROR(__xludf.DUMMYFUNCTION("GOOGLETRANSLATE(B159, ""en"", ""ru"")"),"максимум игроков")</f>
        <v>максимум игроков</v>
      </c>
      <c r="F159" s="23" t="str">
        <f>IFERROR(__xludf.DUMMYFUNCTION("GOOGLETRANSLATE(B159, ""en"", ""tr"")"),"maksimum oyuncu")</f>
        <v>maksimum oyuncu</v>
      </c>
      <c r="G159" s="23" t="str">
        <f>IFERROR(__xludf.DUMMYFUNCTION("GOOGLETRANSLATE(B159, ""en"", ""pt"")"),"máximo de jogadores")</f>
        <v>máximo de jogadores</v>
      </c>
      <c r="H159" s="24" t="str">
        <f>IFERROR(__xludf.DUMMYFUNCTION("GOOGLETRANSLATE(B159, ""en"", ""de"")"),"Maximale Spielerzahl")</f>
        <v>Maximale Spielerzahl</v>
      </c>
      <c r="I159" s="23" t="str">
        <f>IFERROR(__xludf.DUMMYFUNCTION("GOOGLETRANSLATE(B159, ""en"", ""pl"")"),"maksymalna liczba graczy")</f>
        <v>maksymalna liczba graczy</v>
      </c>
      <c r="J159" s="25" t="str">
        <f>IFERROR(__xludf.DUMMYFUNCTION("GOOGLETRANSLATE(B159, ""en"", ""zh"")"),"最大球员")</f>
        <v>最大球员</v>
      </c>
      <c r="K159" s="25" t="str">
        <f>IFERROR(__xludf.DUMMYFUNCTION("GOOGLETRANSLATE(B159, ""en"", ""vi"")"),"Người chơi tối đa")</f>
        <v>Người chơi tối đa</v>
      </c>
      <c r="L159" s="23" t="str">
        <f>IFERROR(__xludf.DUMMYFUNCTION("GOOGLETRANSLATE(B159, ""en"", ""hr"")"),"maksimalno igrača")</f>
        <v>maksimalno igrača</v>
      </c>
      <c r="M159" s="23"/>
      <c r="N159" s="26"/>
      <c r="O159" s="26"/>
      <c r="P159" s="26"/>
      <c r="Q159" s="26"/>
      <c r="R159" s="26"/>
      <c r="S159" s="26"/>
      <c r="T159" s="26"/>
      <c r="U159" s="26"/>
      <c r="V159" s="26"/>
      <c r="W159" s="26"/>
      <c r="X159" s="26"/>
      <c r="Y159" s="26"/>
      <c r="Z159" s="26"/>
      <c r="AA159" s="26"/>
      <c r="AB159" s="26"/>
    </row>
    <row r="160">
      <c r="A160" s="21" t="s">
        <v>377</v>
      </c>
      <c r="B160" s="22" t="s">
        <v>377</v>
      </c>
      <c r="C160" s="23" t="str">
        <f>IFERROR(__xludf.DUMMYFUNCTION("GOOGLETRANSLATE(B160, ""en"", ""fr"")"),"Créer")</f>
        <v>Créer</v>
      </c>
      <c r="D160" s="23" t="str">
        <f>IFERROR(__xludf.DUMMYFUNCTION("GOOGLETRANSLATE(B160, ""en"", ""es"")"),"Crear")</f>
        <v>Crear</v>
      </c>
      <c r="E160" s="23" t="str">
        <f>IFERROR(__xludf.DUMMYFUNCTION("GOOGLETRANSLATE(B160, ""en"", ""ru"")"),"Создавать")</f>
        <v>Создавать</v>
      </c>
      <c r="F160" s="23" t="str">
        <f>IFERROR(__xludf.DUMMYFUNCTION("GOOGLETRANSLATE(B160, ""en"", ""tr"")"),"Oluşturmak")</f>
        <v>Oluşturmak</v>
      </c>
      <c r="G160" s="23" t="str">
        <f>IFERROR(__xludf.DUMMYFUNCTION("GOOGLETRANSLATE(B160, ""en"", ""pt"")"),"Crio")</f>
        <v>Crio</v>
      </c>
      <c r="H160" s="24" t="str">
        <f>IFERROR(__xludf.DUMMYFUNCTION("GOOGLETRANSLATE(B160, ""en"", ""de"")"),"Schaffen")</f>
        <v>Schaffen</v>
      </c>
      <c r="I160" s="23" t="str">
        <f>IFERROR(__xludf.DUMMYFUNCTION("GOOGLETRANSLATE(B160, ""en"", ""pl"")"),"Tworzyć")</f>
        <v>Tworzyć</v>
      </c>
      <c r="J160" s="25" t="str">
        <f>IFERROR(__xludf.DUMMYFUNCTION("GOOGLETRANSLATE(B160, ""en"", ""zh"")"),"创造")</f>
        <v>创造</v>
      </c>
      <c r="K160" s="25" t="str">
        <f>IFERROR(__xludf.DUMMYFUNCTION("GOOGLETRANSLATE(B160, ""en"", ""vi"")"),"Tạo ra")</f>
        <v>Tạo ra</v>
      </c>
      <c r="L160" s="23" t="str">
        <f>IFERROR(__xludf.DUMMYFUNCTION("GOOGLETRANSLATE(B160, ""en"", ""hr"")"),"Stvoriti")</f>
        <v>Stvoriti</v>
      </c>
      <c r="M160" s="23"/>
      <c r="N160" s="26"/>
      <c r="O160" s="26"/>
      <c r="P160" s="26"/>
      <c r="Q160" s="26"/>
      <c r="R160" s="26"/>
      <c r="S160" s="26"/>
      <c r="T160" s="26"/>
      <c r="U160" s="26"/>
      <c r="V160" s="26"/>
      <c r="W160" s="26"/>
      <c r="X160" s="26"/>
      <c r="Y160" s="26"/>
      <c r="Z160" s="26"/>
      <c r="AA160" s="26"/>
      <c r="AB160" s="26"/>
    </row>
    <row r="161">
      <c r="A161" s="21" t="s">
        <v>378</v>
      </c>
      <c r="B161" s="22" t="s">
        <v>378</v>
      </c>
      <c r="C161" s="23" t="str">
        <f>IFERROR(__xludf.DUMMYFUNCTION("GOOGLETRANSLATE(B161, ""en"", ""fr"")"),"Partir")</f>
        <v>Partir</v>
      </c>
      <c r="D161" s="23" t="str">
        <f>IFERROR(__xludf.DUMMYFUNCTION("GOOGLETRANSLATE(B161, ""en"", ""es"")"),"Abandonar")</f>
        <v>Abandonar</v>
      </c>
      <c r="E161" s="23" t="str">
        <f>IFERROR(__xludf.DUMMYFUNCTION("GOOGLETRANSLATE(B161, ""en"", ""ru"")"),"Оставлять")</f>
        <v>Оставлять</v>
      </c>
      <c r="F161" s="23" t="str">
        <f>IFERROR(__xludf.DUMMYFUNCTION("GOOGLETRANSLATE(B161, ""en"", ""tr"")"),"Terk etmek")</f>
        <v>Terk etmek</v>
      </c>
      <c r="G161" s="23" t="str">
        <f>IFERROR(__xludf.DUMMYFUNCTION("GOOGLETRANSLATE(B161, ""en"", ""pt"")"),"Sair")</f>
        <v>Sair</v>
      </c>
      <c r="H161" s="24" t="str">
        <f>IFERROR(__xludf.DUMMYFUNCTION("GOOGLETRANSLATE(B161, ""en"", ""de"")"),"Verlassen")</f>
        <v>Verlassen</v>
      </c>
      <c r="I161" s="23" t="str">
        <f>IFERROR(__xludf.DUMMYFUNCTION("GOOGLETRANSLATE(B161, ""en"", ""pl"")"),"Wyjechać")</f>
        <v>Wyjechać</v>
      </c>
      <c r="J161" s="25" t="str">
        <f>IFERROR(__xludf.DUMMYFUNCTION("GOOGLETRANSLATE(B161, ""en"", ""zh"")"),"离开")</f>
        <v>离开</v>
      </c>
      <c r="K161" s="25" t="str">
        <f>IFERROR(__xludf.DUMMYFUNCTION("GOOGLETRANSLATE(B161, ""en"", ""vi"")"),"Rời bỏ")</f>
        <v>Rời bỏ</v>
      </c>
      <c r="L161" s="23" t="str">
        <f>IFERROR(__xludf.DUMMYFUNCTION("GOOGLETRANSLATE(B161, ""en"", ""hr"")"),"Napustiti")</f>
        <v>Napustiti</v>
      </c>
      <c r="M161" s="23"/>
      <c r="N161" s="26"/>
      <c r="O161" s="26"/>
      <c r="P161" s="26"/>
      <c r="Q161" s="26"/>
      <c r="R161" s="26"/>
      <c r="S161" s="26"/>
      <c r="T161" s="26"/>
      <c r="U161" s="26"/>
      <c r="V161" s="26"/>
      <c r="W161" s="26"/>
      <c r="X161" s="26"/>
      <c r="Y161" s="26"/>
      <c r="Z161" s="26"/>
      <c r="AA161" s="26"/>
      <c r="AB161" s="26"/>
    </row>
    <row r="162">
      <c r="A162" s="21" t="s">
        <v>379</v>
      </c>
      <c r="B162" s="22" t="s">
        <v>379</v>
      </c>
      <c r="C162" s="23" t="str">
        <f>IFERROR(__xludf.DUMMYFUNCTION("GOOGLETRANSLATE(B162, ""en"", ""fr"")"),"Commencer")</f>
        <v>Commencer</v>
      </c>
      <c r="D162" s="23" t="str">
        <f>IFERROR(__xludf.DUMMYFUNCTION("GOOGLETRANSLATE(B162, ""en"", ""es"")"),"comienzo")</f>
        <v>comienzo</v>
      </c>
      <c r="E162" s="23" t="str">
        <f>IFERROR(__xludf.DUMMYFUNCTION("GOOGLETRANSLATE(B162, ""en"", ""ru"")"),"Начинать")</f>
        <v>Начинать</v>
      </c>
      <c r="F162" s="23" t="str">
        <f>IFERROR(__xludf.DUMMYFUNCTION("GOOGLETRANSLATE(B162, ""en"", ""tr"")"),"Başlama")</f>
        <v>Başlama</v>
      </c>
      <c r="G162" s="23" t="str">
        <f>IFERROR(__xludf.DUMMYFUNCTION("GOOGLETRANSLATE(B162, ""en"", ""pt"")"),"Começar")</f>
        <v>Começar</v>
      </c>
      <c r="H162" s="24" t="str">
        <f>IFERROR(__xludf.DUMMYFUNCTION("GOOGLETRANSLATE(B162, ""en"", ""de"")"),"Anfang")</f>
        <v>Anfang</v>
      </c>
      <c r="I162" s="23" t="str">
        <f>IFERROR(__xludf.DUMMYFUNCTION("GOOGLETRANSLATE(B162, ""en"", ""pl"")"),"Początek")</f>
        <v>Początek</v>
      </c>
      <c r="J162" s="25" t="str">
        <f>IFERROR(__xludf.DUMMYFUNCTION("GOOGLETRANSLATE(B162, ""en"", ""zh"")"),"开始")</f>
        <v>开始</v>
      </c>
      <c r="K162" s="25" t="str">
        <f>IFERROR(__xludf.DUMMYFUNCTION("GOOGLETRANSLATE(B162, ""en"", ""vi"")"),"Bắt đầu")</f>
        <v>Bắt đầu</v>
      </c>
      <c r="L162" s="23" t="str">
        <f>IFERROR(__xludf.DUMMYFUNCTION("GOOGLETRANSLATE(B162, ""en"", ""hr"")"),"Početak")</f>
        <v>Početak</v>
      </c>
      <c r="M162" s="23"/>
      <c r="N162" s="26"/>
      <c r="O162" s="26"/>
      <c r="P162" s="26"/>
      <c r="Q162" s="26"/>
      <c r="R162" s="26"/>
      <c r="S162" s="26"/>
      <c r="T162" s="26"/>
      <c r="U162" s="26"/>
      <c r="V162" s="26"/>
      <c r="W162" s="26"/>
      <c r="X162" s="26"/>
      <c r="Y162" s="26"/>
      <c r="Z162" s="26"/>
      <c r="AA162" s="26"/>
      <c r="AB162" s="26"/>
    </row>
    <row r="163">
      <c r="A163" s="21" t="s">
        <v>380</v>
      </c>
      <c r="B163" s="22" t="s">
        <v>380</v>
      </c>
      <c r="C163" s="23" t="str">
        <f>IFERROR(__xludf.DUMMYFUNCTION("GOOGLETRANSLATE(B163, ""en"", ""fr"")"),"Annuler")</f>
        <v>Annuler</v>
      </c>
      <c r="D163" s="23" t="str">
        <f>IFERROR(__xludf.DUMMYFUNCTION("GOOGLETRANSLATE(B163, ""en"", ""es"")"),"Cancelar")</f>
        <v>Cancelar</v>
      </c>
      <c r="E163" s="23" t="str">
        <f>IFERROR(__xludf.DUMMYFUNCTION("GOOGLETRANSLATE(B163, ""en"", ""ru"")"),"Отмена")</f>
        <v>Отмена</v>
      </c>
      <c r="F163" s="23" t="str">
        <f>IFERROR(__xludf.DUMMYFUNCTION("GOOGLETRANSLATE(B163, ""en"", ""tr"")"),"İptal")</f>
        <v>İptal</v>
      </c>
      <c r="G163" s="23" t="str">
        <f>IFERROR(__xludf.DUMMYFUNCTION("GOOGLETRANSLATE(B163, ""en"", ""pt"")"),"Cancelar")</f>
        <v>Cancelar</v>
      </c>
      <c r="H163" s="24" t="str">
        <f>IFERROR(__xludf.DUMMYFUNCTION("GOOGLETRANSLATE(B163, ""en"", ""de"")"),"Absagen")</f>
        <v>Absagen</v>
      </c>
      <c r="I163" s="23" t="str">
        <f>IFERROR(__xludf.DUMMYFUNCTION("GOOGLETRANSLATE(B163, ""en"", ""pl"")"),"Anulować")</f>
        <v>Anulować</v>
      </c>
      <c r="J163" s="25" t="str">
        <f>IFERROR(__xludf.DUMMYFUNCTION("GOOGLETRANSLATE(B163, ""en"", ""zh"")"),"取消")</f>
        <v>取消</v>
      </c>
      <c r="K163" s="25" t="str">
        <f>IFERROR(__xludf.DUMMYFUNCTION("GOOGLETRANSLATE(B163, ""en"", ""vi"")"),"Hủy bỏ")</f>
        <v>Hủy bỏ</v>
      </c>
      <c r="L163" s="23" t="str">
        <f>IFERROR(__xludf.DUMMYFUNCTION("GOOGLETRANSLATE(B163, ""en"", ""hr"")"),"Otkazati")</f>
        <v>Otkazati</v>
      </c>
      <c r="M163" s="23"/>
      <c r="N163" s="26"/>
      <c r="O163" s="26"/>
      <c r="P163" s="26"/>
      <c r="Q163" s="26"/>
      <c r="R163" s="26"/>
      <c r="S163" s="26"/>
      <c r="T163" s="26"/>
      <c r="U163" s="26"/>
      <c r="V163" s="26"/>
      <c r="W163" s="26"/>
      <c r="X163" s="26"/>
      <c r="Y163" s="26"/>
      <c r="Z163" s="26"/>
      <c r="AA163" s="26"/>
      <c r="AB163" s="26"/>
    </row>
    <row r="164">
      <c r="A164" s="21" t="s">
        <v>381</v>
      </c>
      <c r="B164" s="22" t="s">
        <v>381</v>
      </c>
      <c r="C164" s="23" t="s">
        <v>382</v>
      </c>
      <c r="D164" s="23" t="str">
        <f>IFERROR(__xludf.DUMMYFUNCTION("GOOGLETRANSLATE(B164, ""en"", ""es"")"),"Fiesta")</f>
        <v>Fiesta</v>
      </c>
      <c r="E164" s="23" t="str">
        <f>IFERROR(__xludf.DUMMYFUNCTION("GOOGLETRANSLATE(B164, ""en"", ""ru"")"),"Партия")</f>
        <v>Партия</v>
      </c>
      <c r="F164" s="23" t="str">
        <f>IFERROR(__xludf.DUMMYFUNCTION("GOOGLETRANSLATE(B164, ""en"", ""tr"")"),"Parti")</f>
        <v>Parti</v>
      </c>
      <c r="G164" s="23" t="str">
        <f>IFERROR(__xludf.DUMMYFUNCTION("GOOGLETRANSLATE(B164, ""en"", ""pt"")"),"Partido")</f>
        <v>Partido</v>
      </c>
      <c r="H164" s="24" t="str">
        <f>IFERROR(__xludf.DUMMYFUNCTION("GOOGLETRANSLATE(B164, ""en"", ""de"")"),"Party")</f>
        <v>Party</v>
      </c>
      <c r="I164" s="23" t="str">
        <f>IFERROR(__xludf.DUMMYFUNCTION("GOOGLETRANSLATE(B164, ""en"", ""pl"")"),"Przyjęcie")</f>
        <v>Przyjęcie</v>
      </c>
      <c r="J164" s="25" t="str">
        <f>IFERROR(__xludf.DUMMYFUNCTION("GOOGLETRANSLATE(B164, ""en"", ""zh"")"),"聚会")</f>
        <v>聚会</v>
      </c>
      <c r="K164" s="25" t="str">
        <f>IFERROR(__xludf.DUMMYFUNCTION("GOOGLETRANSLATE(B164, ""en"", ""vi"")"),"Bữa tiệc")</f>
        <v>Bữa tiệc</v>
      </c>
      <c r="L164" s="23" t="str">
        <f>IFERROR(__xludf.DUMMYFUNCTION("GOOGLETRANSLATE(B164, ""en"", ""hr"")"),"Zabava")</f>
        <v>Zabava</v>
      </c>
      <c r="M164" s="23"/>
      <c r="N164" s="26"/>
      <c r="O164" s="26"/>
      <c r="P164" s="26"/>
      <c r="Q164" s="26"/>
      <c r="R164" s="26"/>
      <c r="S164" s="26"/>
      <c r="T164" s="26"/>
      <c r="U164" s="26"/>
      <c r="V164" s="26"/>
      <c r="W164" s="26"/>
      <c r="X164" s="26"/>
      <c r="Y164" s="26"/>
      <c r="Z164" s="26"/>
      <c r="AA164" s="26"/>
      <c r="AB164" s="26"/>
    </row>
    <row r="165">
      <c r="A165" s="21" t="s">
        <v>383</v>
      </c>
      <c r="B165" s="22" t="s">
        <v>383</v>
      </c>
      <c r="C165" s="23" t="s">
        <v>384</v>
      </c>
      <c r="D165" s="23" t="str">
        <f>IFERROR(__xludf.DUMMYFUNCTION("GOOGLETRANSLATE(B165, ""en"", ""es"")"),"Fiestas")</f>
        <v>Fiestas</v>
      </c>
      <c r="E165" s="23" t="str">
        <f>IFERROR(__xludf.DUMMYFUNCTION("GOOGLETRANSLATE(B165, ""en"", ""ru"")"),"Стороны")</f>
        <v>Стороны</v>
      </c>
      <c r="F165" s="23" t="str">
        <f>IFERROR(__xludf.DUMMYFUNCTION("GOOGLETRANSLATE(B165, ""en"", ""tr"")"),"Partiler")</f>
        <v>Partiler</v>
      </c>
      <c r="G165" s="23" t="str">
        <f>IFERROR(__xludf.DUMMYFUNCTION("GOOGLETRANSLATE(B165, ""en"", ""pt"")"),"Partidos")</f>
        <v>Partidos</v>
      </c>
      <c r="H165" s="24" t="str">
        <f>IFERROR(__xludf.DUMMYFUNCTION("GOOGLETRANSLATE(B165, ""en"", ""de"")"),"Partys")</f>
        <v>Partys</v>
      </c>
      <c r="I165" s="23" t="str">
        <f>IFERROR(__xludf.DUMMYFUNCTION("GOOGLETRANSLATE(B165, ""en"", ""pl"")"),"Imprezy")</f>
        <v>Imprezy</v>
      </c>
      <c r="J165" s="25" t="str">
        <f>IFERROR(__xludf.DUMMYFUNCTION("GOOGLETRANSLATE(B165, ""en"", ""zh"")"),"派对")</f>
        <v>派对</v>
      </c>
      <c r="K165" s="25" t="str">
        <f>IFERROR(__xludf.DUMMYFUNCTION("GOOGLETRANSLATE(B165, ""en"", ""vi"")"),"Các bữa tiệc")</f>
        <v>Các bữa tiệc</v>
      </c>
      <c r="L165" s="23" t="str">
        <f>IFERROR(__xludf.DUMMYFUNCTION("GOOGLETRANSLATE(B165, ""en"", ""hr"")"),"Zabava")</f>
        <v>Zabava</v>
      </c>
      <c r="M165" s="23"/>
      <c r="N165" s="26"/>
      <c r="O165" s="26"/>
      <c r="P165" s="26"/>
      <c r="Q165" s="26"/>
      <c r="R165" s="26"/>
      <c r="S165" s="26"/>
      <c r="T165" s="26"/>
      <c r="U165" s="26"/>
      <c r="V165" s="26"/>
      <c r="W165" s="26"/>
      <c r="X165" s="26"/>
      <c r="Y165" s="26"/>
      <c r="Z165" s="26"/>
      <c r="AA165" s="26"/>
      <c r="AB165" s="26"/>
    </row>
    <row r="166">
      <c r="A166" s="21" t="s">
        <v>385</v>
      </c>
      <c r="B166" s="22" t="s">
        <v>374</v>
      </c>
      <c r="C166" s="23" t="str">
        <f>IFERROR(__xludf.DUMMYFUNCTION("GOOGLETRANSLATE(B166, ""en"", ""fr"")"),"Coût d'entrée")</f>
        <v>Coût d'entrée</v>
      </c>
      <c r="D166" s="23" t="str">
        <f>IFERROR(__xludf.DUMMYFUNCTION("GOOGLETRANSLATE(B166, ""en"", ""es"")"),"Costo de entrada")</f>
        <v>Costo de entrada</v>
      </c>
      <c r="E166" s="23" t="str">
        <f>IFERROR(__xludf.DUMMYFUNCTION("GOOGLETRANSLATE(B166, ""en"", ""ru"")"),"Стоимость входа")</f>
        <v>Стоимость входа</v>
      </c>
      <c r="F166" s="23" t="str">
        <f>IFERROR(__xludf.DUMMYFUNCTION("GOOGLETRANSLATE(B166, ""en"", ""tr"")"),"Giriş maliyeti")</f>
        <v>Giriş maliyeti</v>
      </c>
      <c r="G166" s="23" t="str">
        <f>IFERROR(__xludf.DUMMYFUNCTION("GOOGLETRANSLATE(B166, ""en"", ""pt"")"),"Custo de entrada")</f>
        <v>Custo de entrada</v>
      </c>
      <c r="H166" s="24" t="str">
        <f>IFERROR(__xludf.DUMMYFUNCTION("GOOGLETRANSLATE(B166, ""en"", ""de"")"),"Eintrittskosten")</f>
        <v>Eintrittskosten</v>
      </c>
      <c r="I166" s="23" t="str">
        <f>IFERROR(__xludf.DUMMYFUNCTION("GOOGLETRANSLATE(B166, ""en"", ""pl"")"),"Koszt wejścia")</f>
        <v>Koszt wejścia</v>
      </c>
      <c r="J166" s="25" t="str">
        <f>IFERROR(__xludf.DUMMYFUNCTION("GOOGLETRANSLATE(B166, ""en"", ""zh"")"),"入门费用")</f>
        <v>入门费用</v>
      </c>
      <c r="K166" s="25" t="str">
        <f>IFERROR(__xludf.DUMMYFUNCTION("GOOGLETRANSLATE(B166, ""en"", ""vi"")"),"Chi phí nhập cảnh")</f>
        <v>Chi phí nhập cảnh</v>
      </c>
      <c r="L166" s="23" t="str">
        <f>IFERROR(__xludf.DUMMYFUNCTION("GOOGLETRANSLATE(B166, ""en"", ""hr"")"),"Trošak unosa")</f>
        <v>Trošak unosa</v>
      </c>
      <c r="M166" s="23"/>
      <c r="N166" s="26"/>
      <c r="O166" s="26"/>
      <c r="P166" s="26"/>
      <c r="Q166" s="26"/>
      <c r="R166" s="26"/>
      <c r="S166" s="26"/>
      <c r="T166" s="26"/>
      <c r="U166" s="26"/>
      <c r="V166" s="26"/>
      <c r="W166" s="26"/>
      <c r="X166" s="26"/>
      <c r="Y166" s="26"/>
      <c r="Z166" s="26"/>
      <c r="AA166" s="26"/>
      <c r="AB166" s="26"/>
    </row>
    <row r="167">
      <c r="A167" s="21" t="s">
        <v>386</v>
      </c>
      <c r="B167" s="22" t="s">
        <v>386</v>
      </c>
      <c r="C167" s="23" t="s">
        <v>387</v>
      </c>
      <c r="D167" s="23" t="str">
        <f>IFERROR(__xludf.DUMMYFUNCTION("GOOGLETRANSLATE(B167, ""en"", ""es"")"),"Tiempo restante")</f>
        <v>Tiempo restante</v>
      </c>
      <c r="E167" s="23" t="str">
        <f>IFERROR(__xludf.DUMMYFUNCTION("GOOGLETRANSLATE(B167, ""en"", ""ru"")"),"Оставшееся время")</f>
        <v>Оставшееся время</v>
      </c>
      <c r="F167" s="23" t="str">
        <f>IFERROR(__xludf.DUMMYFUNCTION("GOOGLETRANSLATE(B167, ""en"", ""tr"")"),"Kalan süre")</f>
        <v>Kalan süre</v>
      </c>
      <c r="G167" s="23" t="str">
        <f>IFERROR(__xludf.DUMMYFUNCTION("GOOGLETRANSLATE(B167, ""en"", ""pt"")"),"Tempo restante")</f>
        <v>Tempo restante</v>
      </c>
      <c r="H167" s="24" t="str">
        <f>IFERROR(__xludf.DUMMYFUNCTION("GOOGLETRANSLATE(B167, ""en"", ""de"")"),"Zeit verbleiben")</f>
        <v>Zeit verbleiben</v>
      </c>
      <c r="I167" s="23" t="str">
        <f>IFERROR(__xludf.DUMMYFUNCTION("GOOGLETRANSLATE(B167, ""en"", ""pl"")"),"Pozostały czas")</f>
        <v>Pozostały czas</v>
      </c>
      <c r="J167" s="25" t="str">
        <f>IFERROR(__xludf.DUMMYFUNCTION("GOOGLETRANSLATE(B167, ""en"", ""zh"")"),"剩余时间")</f>
        <v>剩余时间</v>
      </c>
      <c r="K167" s="25" t="str">
        <f>IFERROR(__xludf.DUMMYFUNCTION("GOOGLETRANSLATE(B167, ""en"", ""vi"")"),"Thời gian còn lại")</f>
        <v>Thời gian còn lại</v>
      </c>
      <c r="L167" s="23" t="str">
        <f>IFERROR(__xludf.DUMMYFUNCTION("GOOGLETRANSLATE(B167, ""en"", ""hr"")"),"Preostalo vrijeme")</f>
        <v>Preostalo vrijeme</v>
      </c>
      <c r="M167" s="23"/>
      <c r="N167" s="26"/>
      <c r="O167" s="26"/>
      <c r="P167" s="26"/>
      <c r="Q167" s="26"/>
      <c r="R167" s="26"/>
      <c r="S167" s="26"/>
      <c r="T167" s="26"/>
      <c r="U167" s="26"/>
      <c r="V167" s="26"/>
      <c r="W167" s="26"/>
      <c r="X167" s="26"/>
      <c r="Y167" s="26"/>
      <c r="Z167" s="26"/>
      <c r="AA167" s="26"/>
      <c r="AB167" s="26"/>
    </row>
    <row r="168">
      <c r="A168" s="21" t="s">
        <v>388</v>
      </c>
      <c r="B168" s="22" t="s">
        <v>389</v>
      </c>
      <c r="C168" s="23" t="str">
        <f>IFERROR(__xludf.DUMMYFUNCTION("GOOGLETRANSLATE(B168, ""en"", ""fr"")"),"Égouts de la ville")</f>
        <v>Égouts de la ville</v>
      </c>
      <c r="D168" s="23" t="str">
        <f>IFERROR(__xludf.DUMMYFUNCTION("GOOGLETRANSLATE(B168, ""en"", ""es"")"),"Alcantarillas de la ciudad")</f>
        <v>Alcantarillas de la ciudad</v>
      </c>
      <c r="E168" s="23" t="str">
        <f>IFERROR(__xludf.DUMMYFUNCTION("GOOGLETRANSLATE(B168, ""en"", ""ru"")"),"Городские канализации")</f>
        <v>Городские канализации</v>
      </c>
      <c r="F168" s="23" t="str">
        <f>IFERROR(__xludf.DUMMYFUNCTION("GOOGLETRANSLATE(B168, ""en"", ""tr"")"),"Şehir kanalizasyonları")</f>
        <v>Şehir kanalizasyonları</v>
      </c>
      <c r="G168" s="23" t="str">
        <f>IFERROR(__xludf.DUMMYFUNCTION("GOOGLETRANSLATE(B168, ""en"", ""pt"")"),"Esgotos da cidade")</f>
        <v>Esgotos da cidade</v>
      </c>
      <c r="H168" s="24" t="str">
        <f>IFERROR(__xludf.DUMMYFUNCTION("GOOGLETRANSLATE(B168, ""en"", ""de"")"),"Stadtkanäle")</f>
        <v>Stadtkanäle</v>
      </c>
      <c r="I168" s="23" t="str">
        <f>IFERROR(__xludf.DUMMYFUNCTION("GOOGLETRANSLATE(B168, ""en"", ""pl"")"),"Kanały kanałowe")</f>
        <v>Kanały kanałowe</v>
      </c>
      <c r="J168" s="25" t="str">
        <f>IFERROR(__xludf.DUMMYFUNCTION("GOOGLETRANSLATE(B168, ""en"", ""zh"")"),"城市下水道")</f>
        <v>城市下水道</v>
      </c>
      <c r="K168" s="25" t="str">
        <f>IFERROR(__xludf.DUMMYFUNCTION("GOOGLETRANSLATE(B168, ""en"", ""vi"")"),"Cống thoát nước thành phố")</f>
        <v>Cống thoát nước thành phố</v>
      </c>
      <c r="L168" s="23" t="str">
        <f>IFERROR(__xludf.DUMMYFUNCTION("GOOGLETRANSLATE(B168, ""en"", ""hr"")"),"Gradska kanalizacija")</f>
        <v>Gradska kanalizacija</v>
      </c>
      <c r="M168" s="23"/>
      <c r="N168" s="26"/>
      <c r="O168" s="26"/>
      <c r="P168" s="26"/>
      <c r="Q168" s="26"/>
      <c r="R168" s="26"/>
      <c r="S168" s="26"/>
      <c r="T168" s="26"/>
      <c r="U168" s="26"/>
      <c r="V168" s="26"/>
      <c r="W168" s="26"/>
      <c r="X168" s="26"/>
      <c r="Y168" s="26"/>
      <c r="Z168" s="26"/>
      <c r="AA168" s="26"/>
      <c r="AB168" s="26"/>
    </row>
    <row r="169">
      <c r="A169" s="21" t="s">
        <v>390</v>
      </c>
      <c r="B169" s="22" t="s">
        <v>391</v>
      </c>
      <c r="C169" s="23" t="s">
        <v>392</v>
      </c>
      <c r="D169" s="23" t="str">
        <f>IFERROR(__xludf.DUMMYFUNCTION("GOOGLETRANSLATE(B169, ""en"", ""es"")"),"Arena de entrenamiento de caballeros")</f>
        <v>Arena de entrenamiento de caballeros</v>
      </c>
      <c r="E169" s="23" t="str">
        <f>IFERROR(__xludf.DUMMYFUNCTION("GOOGLETRANSLATE(B169, ""en"", ""ru"")"),"Рыцарь Тренировка Арены")</f>
        <v>Рыцарь Тренировка Арены</v>
      </c>
      <c r="F169" s="23" t="str">
        <f>IFERROR(__xludf.DUMMYFUNCTION("GOOGLETRANSLATE(B169, ""en"", ""tr"")"),"Şövalye Eğitim Arenası")</f>
        <v>Şövalye Eğitim Arenası</v>
      </c>
      <c r="G169" s="23" t="str">
        <f>IFERROR(__xludf.DUMMYFUNCTION("GOOGLETRANSLATE(B169, ""en"", ""pt"")"),"Arena de treinamento de cavaleiros")</f>
        <v>Arena de treinamento de cavaleiros</v>
      </c>
      <c r="H169" s="24" t="str">
        <f>IFERROR(__xludf.DUMMYFUNCTION("GOOGLETRANSLATE(B169, ""en"", ""de"")"),"Rittertrainingsarena")</f>
        <v>Rittertrainingsarena</v>
      </c>
      <c r="I169" s="23" t="str">
        <f>IFERROR(__xludf.DUMMYFUNCTION("GOOGLETRANSLATE(B169, ""en"", ""pl"")"),"Knight Training Arena")</f>
        <v>Knight Training Arena</v>
      </c>
      <c r="J169" s="25" t="str">
        <f>IFERROR(__xludf.DUMMYFUNCTION("GOOGLETRANSLATE(B169, ""en"", ""zh"")"),"骑士训练领域")</f>
        <v>骑士训练领域</v>
      </c>
      <c r="K169" s="25" t="str">
        <f>IFERROR(__xludf.DUMMYFUNCTION("GOOGLETRANSLATE(B169, ""en"", ""vi"")"),"Đạo trường đào tạo hiệp sĩ")</f>
        <v>Đạo trường đào tạo hiệp sĩ</v>
      </c>
      <c r="L169" s="23" t="str">
        <f>IFERROR(__xludf.DUMMYFUNCTION("GOOGLETRANSLATE(B169, ""en"", ""hr"")"),"Knight trening Arena")</f>
        <v>Knight trening Arena</v>
      </c>
      <c r="M169" s="23"/>
      <c r="N169" s="26"/>
      <c r="O169" s="26"/>
      <c r="P169" s="26"/>
      <c r="Q169" s="26"/>
      <c r="R169" s="26"/>
      <c r="S169" s="26"/>
      <c r="T169" s="26"/>
      <c r="U169" s="26"/>
      <c r="V169" s="26"/>
      <c r="W169" s="26"/>
      <c r="X169" s="26"/>
      <c r="Y169" s="26"/>
      <c r="Z169" s="26"/>
      <c r="AA169" s="26"/>
      <c r="AB169" s="26"/>
    </row>
    <row r="170">
      <c r="A170" s="21" t="s">
        <v>393</v>
      </c>
      <c r="B170" s="22" t="s">
        <v>394</v>
      </c>
      <c r="C170" s="23" t="str">
        <f>IFERROR(__xludf.DUMMYFUNCTION("GOOGLETRANSLATE(B170, ""en"", ""fr"")"),"Cachette de bandit")</f>
        <v>Cachette de bandit</v>
      </c>
      <c r="D170" s="23" t="str">
        <f>IFERROR(__xludf.DUMMYFUNCTION("GOOGLETRANSLATE(B170, ""en"", ""es"")"),"Escondite de bandido")</f>
        <v>Escondite de bandido</v>
      </c>
      <c r="E170" s="23" t="str">
        <f>IFERROR(__xludf.DUMMYFUNCTION("GOOGLETRANSLATE(B170, ""en"", ""ru"")"),"Bandit Hideout")</f>
        <v>Bandit Hideout</v>
      </c>
      <c r="F170" s="23" t="str">
        <f>IFERROR(__xludf.DUMMYFUNCTION("GOOGLETRANSLATE(B170, ""en"", ""tr"")"),"Haydut saklanma yeri")</f>
        <v>Haydut saklanma yeri</v>
      </c>
      <c r="G170" s="23" t="str">
        <f>IFERROR(__xludf.DUMMYFUNCTION("GOOGLETRANSLATE(B170, ""en"", ""pt"")"),"Bandit Hideout")</f>
        <v>Bandit Hideout</v>
      </c>
      <c r="H170" s="24" t="str">
        <f>IFERROR(__xludf.DUMMYFUNCTION("GOOGLETRANSLATE(B170, ""en"", ""de"")"),"Banditenversteck")</f>
        <v>Banditenversteck</v>
      </c>
      <c r="I170" s="23" t="str">
        <f>IFERROR(__xludf.DUMMYFUNCTION("GOOGLETRANSLATE(B170, ""en"", ""pl"")"),"Hideout z bandytów")</f>
        <v>Hideout z bandytów</v>
      </c>
      <c r="J170" s="25" t="str">
        <f>IFERROR(__xludf.DUMMYFUNCTION("GOOGLETRANSLATE(B170, ""en"", ""zh"")"),"强盗藏身处")</f>
        <v>强盗藏身处</v>
      </c>
      <c r="K170" s="25" t="str">
        <f>IFERROR(__xludf.DUMMYFUNCTION("GOOGLETRANSLATE(B170, ""en"", ""vi"")"),"Nơi ẩn náu của tên cướp")</f>
        <v>Nơi ẩn náu của tên cướp</v>
      </c>
      <c r="L170" s="23" t="str">
        <f>IFERROR(__xludf.DUMMYFUNCTION("GOOGLETRANSLATE(B170, ""en"", ""hr"")"),"Skrovište")</f>
        <v>Skrovište</v>
      </c>
      <c r="M170" s="23"/>
      <c r="N170" s="26"/>
      <c r="O170" s="26"/>
      <c r="P170" s="26"/>
      <c r="Q170" s="26"/>
      <c r="R170" s="26"/>
      <c r="S170" s="26"/>
      <c r="T170" s="26"/>
      <c r="U170" s="26"/>
      <c r="V170" s="26"/>
      <c r="W170" s="26"/>
      <c r="X170" s="26"/>
      <c r="Y170" s="26"/>
      <c r="Z170" s="26"/>
      <c r="AA170" s="26"/>
      <c r="AB170" s="26"/>
    </row>
    <row r="171">
      <c r="A171" s="21" t="s">
        <v>395</v>
      </c>
      <c r="B171" s="22" t="s">
        <v>396</v>
      </c>
      <c r="C171" s="23" t="s">
        <v>397</v>
      </c>
      <c r="D171" s="23" t="str">
        <f>IFERROR(__xludf.DUMMYFUNCTION("GOOGLETRANSLATE(B171, ""en"", ""es"")"),"Pirámide oeste")</f>
        <v>Pirámide oeste</v>
      </c>
      <c r="E171" s="23" t="str">
        <f>IFERROR(__xludf.DUMMYFUNCTION("GOOGLETRANSLATE(B171, ""en"", ""ru"")"),"Западная пирамида")</f>
        <v>Западная пирамида</v>
      </c>
      <c r="F171" s="23" t="str">
        <f>IFERROR(__xludf.DUMMYFUNCTION("GOOGLETRANSLATE(B171, ""en"", ""tr"")"),"Batı Piramidi")</f>
        <v>Batı Piramidi</v>
      </c>
      <c r="G171" s="23" t="str">
        <f>IFERROR(__xludf.DUMMYFUNCTION("GOOGLETRANSLATE(B171, ""en"", ""pt"")"),"Pirâmide Ocidental")</f>
        <v>Pirâmide Ocidental</v>
      </c>
      <c r="H171" s="24" t="str">
        <f>IFERROR(__xludf.DUMMYFUNCTION("GOOGLETRANSLATE(B171, ""en"", ""de"")"),"Westpyramide")</f>
        <v>Westpyramide</v>
      </c>
      <c r="I171" s="23" t="str">
        <f>IFERROR(__xludf.DUMMYFUNCTION("GOOGLETRANSLATE(B171, ""en"", ""pl"")"),"Pyramida zachodnia")</f>
        <v>Pyramida zachodnia</v>
      </c>
      <c r="J171" s="25" t="str">
        <f>IFERROR(__xludf.DUMMYFUNCTION("GOOGLETRANSLATE(B171, ""en"", ""zh"")"),"西金字塔")</f>
        <v>西金字塔</v>
      </c>
      <c r="K171" s="25" t="str">
        <f>IFERROR(__xludf.DUMMYFUNCTION("GOOGLETRANSLATE(B171, ""en"", ""vi"")"),"Kim tự tháp Tây")</f>
        <v>Kim tự tháp Tây</v>
      </c>
      <c r="L171" s="23" t="str">
        <f>IFERROR(__xludf.DUMMYFUNCTION("GOOGLETRANSLATE(B171, ""en"", ""hr"")"),"Zapadna piramida")</f>
        <v>Zapadna piramida</v>
      </c>
      <c r="M171" s="23"/>
      <c r="N171" s="26"/>
      <c r="O171" s="26"/>
      <c r="P171" s="26"/>
      <c r="Q171" s="26"/>
      <c r="R171" s="26"/>
      <c r="S171" s="26"/>
      <c r="T171" s="26"/>
      <c r="U171" s="26"/>
      <c r="V171" s="26"/>
      <c r="W171" s="26"/>
      <c r="X171" s="26"/>
      <c r="Y171" s="26"/>
      <c r="Z171" s="26"/>
      <c r="AA171" s="26"/>
      <c r="AB171" s="26"/>
    </row>
    <row r="172">
      <c r="A172" s="21" t="s">
        <v>398</v>
      </c>
      <c r="B172" s="22" t="s">
        <v>399</v>
      </c>
      <c r="C172" s="23" t="s">
        <v>400</v>
      </c>
      <c r="D172" s="23" t="str">
        <f>IFERROR(__xludf.DUMMYFUNCTION("GOOGLETRANSLATE(B172, ""en"", ""es"")"),"Pirámide este")</f>
        <v>Pirámide este</v>
      </c>
      <c r="E172" s="23" t="str">
        <f>IFERROR(__xludf.DUMMYFUNCTION("GOOGLETRANSLATE(B172, ""en"", ""ru"")"),"Восточная пирамида")</f>
        <v>Восточная пирамида</v>
      </c>
      <c r="F172" s="23" t="str">
        <f>IFERROR(__xludf.DUMMYFUNCTION("GOOGLETRANSLATE(B172, ""en"", ""tr"")"),"Doğu Piramit")</f>
        <v>Doğu Piramit</v>
      </c>
      <c r="G172" s="23" t="str">
        <f>IFERROR(__xludf.DUMMYFUNCTION("GOOGLETRANSLATE(B172, ""en"", ""pt"")"),"Pirâmide Oriental")</f>
        <v>Pirâmide Oriental</v>
      </c>
      <c r="H172" s="24" t="str">
        <f>IFERROR(__xludf.DUMMYFUNCTION("GOOGLETRANSLATE(B172, ""en"", ""de"")"),"Ostpyramide")</f>
        <v>Ostpyramide</v>
      </c>
      <c r="I172" s="23" t="str">
        <f>IFERROR(__xludf.DUMMYFUNCTION("GOOGLETRANSLATE(B172, ""en"", ""pl"")"),"Wschodnia piramida")</f>
        <v>Wschodnia piramida</v>
      </c>
      <c r="J172" s="25" t="str">
        <f>IFERROR(__xludf.DUMMYFUNCTION("GOOGLETRANSLATE(B172, ""en"", ""zh"")"),"东金字塔")</f>
        <v>东金字塔</v>
      </c>
      <c r="K172" s="25" t="str">
        <f>IFERROR(__xludf.DUMMYFUNCTION("GOOGLETRANSLATE(B172, ""en"", ""vi"")"),"Kim tự tháp Đông")</f>
        <v>Kim tự tháp Đông</v>
      </c>
      <c r="L172" s="23" t="str">
        <f>IFERROR(__xludf.DUMMYFUNCTION("GOOGLETRANSLATE(B172, ""en"", ""hr"")"),"Istočna piramida")</f>
        <v>Istočna piramida</v>
      </c>
      <c r="M172" s="23"/>
      <c r="N172" s="26"/>
      <c r="O172" s="26"/>
      <c r="P172" s="26"/>
      <c r="Q172" s="26"/>
      <c r="R172" s="26"/>
      <c r="S172" s="26"/>
      <c r="T172" s="26"/>
      <c r="U172" s="26"/>
      <c r="V172" s="26"/>
      <c r="W172" s="26"/>
      <c r="X172" s="26"/>
      <c r="Y172" s="26"/>
      <c r="Z172" s="26"/>
      <c r="AA172" s="26"/>
      <c r="AB172" s="26"/>
    </row>
    <row r="173">
      <c r="A173" s="21" t="s">
        <v>401</v>
      </c>
      <c r="B173" s="22" t="s">
        <v>402</v>
      </c>
      <c r="C173" s="23" t="str">
        <f>IFERROR(__xludf.DUMMYFUNCTION("GOOGLETRANSLATE(B173, ""en"", ""fr"")"),"Salles de sang")</f>
        <v>Salles de sang</v>
      </c>
      <c r="D173" s="23" t="str">
        <f>IFERROR(__xludf.DUMMYFUNCTION("GOOGLETRANSLATE(B173, ""en"", ""es"")"),"Salas de sangre")</f>
        <v>Salas de sangre</v>
      </c>
      <c r="E173" s="23" t="str">
        <f>IFERROR(__xludf.DUMMYFUNCTION("GOOGLETRANSLATE(B173, ""en"", ""ru"")"),"Кровавые залы")</f>
        <v>Кровавые залы</v>
      </c>
      <c r="F173" s="23" t="str">
        <f>IFERROR(__xludf.DUMMYFUNCTION("GOOGLETRANSLATE(B173, ""en"", ""tr"")"),"Kan salonları")</f>
        <v>Kan salonları</v>
      </c>
      <c r="G173" s="23" t="str">
        <f>IFERROR(__xludf.DUMMYFUNCTION("GOOGLETRANSLATE(B173, ""en"", ""pt"")"),"Salas de sangue")</f>
        <v>Salas de sangue</v>
      </c>
      <c r="H173" s="24" t="str">
        <f>IFERROR(__xludf.DUMMYFUNCTION("GOOGLETRANSLATE(B173, ""en"", ""de"")"),"Bluthallen")</f>
        <v>Bluthallen</v>
      </c>
      <c r="I173" s="23" t="str">
        <f>IFERROR(__xludf.DUMMYFUNCTION("GOOGLETRANSLATE(B173, ""en"", ""pl"")"),"Halls")</f>
        <v>Halls</v>
      </c>
      <c r="J173" s="25" t="str">
        <f>IFERROR(__xludf.DUMMYFUNCTION("GOOGLETRANSLATE(B173, ""en"", ""zh"")"),"血厅")</f>
        <v>血厅</v>
      </c>
      <c r="K173" s="25" t="str">
        <f>IFERROR(__xludf.DUMMYFUNCTION("GOOGLETRANSLATE(B173, ""en"", ""vi"")"),"Hội trường máu")</f>
        <v>Hội trường máu</v>
      </c>
      <c r="L173" s="23" t="str">
        <f>IFERROR(__xludf.DUMMYFUNCTION("GOOGLETRANSLATE(B173, ""en"", ""hr"")"),"Blood Halls")</f>
        <v>Blood Halls</v>
      </c>
      <c r="M173" s="23"/>
      <c r="N173" s="26"/>
      <c r="O173" s="26"/>
      <c r="P173" s="26"/>
      <c r="Q173" s="26"/>
      <c r="R173" s="26"/>
      <c r="S173" s="26"/>
      <c r="T173" s="26"/>
      <c r="U173" s="26"/>
      <c r="V173" s="26"/>
      <c r="W173" s="26"/>
      <c r="X173" s="26"/>
      <c r="Y173" s="26"/>
      <c r="Z173" s="26"/>
      <c r="AA173" s="26"/>
      <c r="AB173" s="26"/>
    </row>
    <row r="174">
      <c r="A174" s="21" t="s">
        <v>403</v>
      </c>
      <c r="B174" s="22" t="s">
        <v>404</v>
      </c>
      <c r="C174" s="23" t="s">
        <v>405</v>
      </c>
      <c r="D174" s="23" t="str">
        <f>IFERROR(__xludf.DUMMYFUNCTION("GOOGLETRANSLATE(B174, ""en"", ""es"")"),"Sombra dōjō")</f>
        <v>Sombra dōjō</v>
      </c>
      <c r="E174" s="23" t="str">
        <f>IFERROR(__xludf.DUMMYFUNCTION("GOOGLETRANSLATE(B174, ""en"", ""ru"")"),"Тень доджо")</f>
        <v>Тень доджо</v>
      </c>
      <c r="F174" s="23" t="str">
        <f>IFERROR(__xludf.DUMMYFUNCTION("GOOGLETRANSLATE(B174, ""en"", ""tr"")"),"Gölge Dōjō")</f>
        <v>Gölge Dōjō</v>
      </c>
      <c r="G174" s="23" t="str">
        <f>IFERROR(__xludf.DUMMYFUNCTION("GOOGLETRANSLATE(B174, ""en"", ""pt"")"),"Shadow Dōjō")</f>
        <v>Shadow Dōjō</v>
      </c>
      <c r="H174" s="24" t="str">
        <f>IFERROR(__xludf.DUMMYFUNCTION("GOOGLETRANSLATE(B174, ""en"", ""de"")"),"Schatten Dōjō")</f>
        <v>Schatten Dōjō</v>
      </c>
      <c r="I174" s="23" t="str">
        <f>IFERROR(__xludf.DUMMYFUNCTION("GOOGLETRANSLATE(B174, ""en"", ""pl"")"),"Shadow dōjō")</f>
        <v>Shadow dōjō</v>
      </c>
      <c r="J174" s="25" t="str">
        <f>IFERROR(__xludf.DUMMYFUNCTION("GOOGLETRANSLATE(B174, ""en"", ""zh"")"),"影子dōjō")</f>
        <v>影子dōjō</v>
      </c>
      <c r="K174" s="25" t="str">
        <f>IFERROR(__xludf.DUMMYFUNCTION("GOOGLETRANSLATE(B174, ""en"", ""vi"")"),"Bóng tối dōjō")</f>
        <v>Bóng tối dōjō</v>
      </c>
      <c r="L174" s="23" t="str">
        <f>IFERROR(__xludf.DUMMYFUNCTION("GOOGLETRANSLATE(B174, ""en"", ""hr"")"),"Sjena dōjō")</f>
        <v>Sjena dōjō</v>
      </c>
      <c r="M174" s="23"/>
      <c r="N174" s="26"/>
      <c r="O174" s="26"/>
      <c r="P174" s="26"/>
      <c r="Q174" s="26"/>
      <c r="R174" s="26"/>
      <c r="S174" s="26"/>
      <c r="T174" s="26"/>
      <c r="U174" s="26"/>
      <c r="V174" s="26"/>
      <c r="W174" s="26"/>
      <c r="X174" s="26"/>
      <c r="Y174" s="26"/>
      <c r="Z174" s="26"/>
      <c r="AA174" s="26"/>
      <c r="AB174" s="26"/>
    </row>
    <row r="175">
      <c r="A175" s="21" t="s">
        <v>406</v>
      </c>
      <c r="B175" s="22" t="s">
        <v>407</v>
      </c>
      <c r="C175" s="23" t="str">
        <f>IFERROR(__xludf.DUMMYFUNCTION("GOOGLETRANSLATE(B175, ""en"", ""fr"")"),"Labyrinthe")</f>
        <v>Labyrinthe</v>
      </c>
      <c r="D175" s="23" t="str">
        <f>IFERROR(__xludf.DUMMYFUNCTION("GOOGLETRANSLATE(B175, ""en"", ""es"")"),"Laberinto de bosques")</f>
        <v>Laberinto de bosques</v>
      </c>
      <c r="E175" s="23" t="str">
        <f>IFERROR(__xludf.DUMMYFUNCTION("GOOGLETRANSLATE(B175, ""en"", ""ru"")"),"Лесной лабиринт")</f>
        <v>Лесной лабиринт</v>
      </c>
      <c r="F175" s="23" t="str">
        <f>IFERROR(__xludf.DUMMYFUNCTION("GOOGLETRANSLATE(B175, ""en"", ""tr"")"),"Orman labirent")</f>
        <v>Orman labirent</v>
      </c>
      <c r="G175" s="23" t="str">
        <f>IFERROR(__xludf.DUMMYFUNCTION("GOOGLETRANSLATE(B175, ""en"", ""pt"")"),"Labirinto da floresta")</f>
        <v>Labirinto da floresta</v>
      </c>
      <c r="H175" s="24" t="str">
        <f>IFERROR(__xludf.DUMMYFUNCTION("GOOGLETRANSLATE(B175, ""en"", ""de"")"),"Waldlabyrinth")</f>
        <v>Waldlabyrinth</v>
      </c>
      <c r="I175" s="23" t="str">
        <f>IFERROR(__xludf.DUMMYFUNCTION("GOOGLETRANSLATE(B175, ""en"", ""pl"")"),"Leśny labirynt")</f>
        <v>Leśny labirynt</v>
      </c>
      <c r="J175" s="25" t="str">
        <f>IFERROR(__xludf.DUMMYFUNCTION("GOOGLETRANSLATE(B175, ""en"", ""zh"")"),"森林迷宫")</f>
        <v>森林迷宫</v>
      </c>
      <c r="K175" s="25" t="str">
        <f>IFERROR(__xludf.DUMMYFUNCTION("GOOGLETRANSLATE(B175, ""en"", ""vi"")"),"Mê cung rừng")</f>
        <v>Mê cung rừng</v>
      </c>
      <c r="L175" s="23" t="str">
        <f>IFERROR(__xludf.DUMMYFUNCTION("GOOGLETRANSLATE(B175, ""en"", ""hr"")"),"Šumski labirint")</f>
        <v>Šumski labirint</v>
      </c>
      <c r="M175" s="23"/>
      <c r="N175" s="26"/>
      <c r="O175" s="26"/>
      <c r="P175" s="26"/>
      <c r="Q175" s="26"/>
      <c r="R175" s="26"/>
      <c r="S175" s="26"/>
      <c r="T175" s="26"/>
      <c r="U175" s="26"/>
      <c r="V175" s="26"/>
      <c r="W175" s="26"/>
      <c r="X175" s="26"/>
      <c r="Y175" s="26"/>
      <c r="Z175" s="26"/>
      <c r="AA175" s="26"/>
      <c r="AB175" s="26"/>
    </row>
    <row r="176">
      <c r="A176" s="21" t="s">
        <v>408</v>
      </c>
      <c r="B176" s="22" t="s">
        <v>409</v>
      </c>
      <c r="C176" s="23" t="s">
        <v>410</v>
      </c>
      <c r="D176" s="23" t="str">
        <f>IFERROR(__xludf.DUMMYFUNCTION("GOOGLETRANSLATE(B176, ""en"", ""es"")"),"Arena de entrenamiento de mago")</f>
        <v>Arena de entrenamiento de mago</v>
      </c>
      <c r="E176" s="23" t="str">
        <f>IFERROR(__xludf.DUMMYFUNCTION("GOOGLETRANSLATE(B176, ""en"", ""ru"")"),"Арена обучения мага")</f>
        <v>Арена обучения мага</v>
      </c>
      <c r="F176" s="23" t="str">
        <f>IFERROR(__xludf.DUMMYFUNCTION("GOOGLETRANSLATE(B176, ""en"", ""tr"")"),"Büyücü Eğitim Arenası")</f>
        <v>Büyücü Eğitim Arenası</v>
      </c>
      <c r="G176" s="23" t="str">
        <f>IFERROR(__xludf.DUMMYFUNCTION("GOOGLETRANSLATE(B176, ""en"", ""pt"")"),"Arena de treinamento de mago")</f>
        <v>Arena de treinamento de mago</v>
      </c>
      <c r="H176" s="24" t="str">
        <f>IFERROR(__xludf.DUMMYFUNCTION("GOOGLETRANSLATE(B176, ""en"", ""de"")"),"Magiertraining Arena")</f>
        <v>Magiertraining Arena</v>
      </c>
      <c r="I176" s="23" t="str">
        <f>IFERROR(__xludf.DUMMYFUNCTION("GOOGLETRANSLATE(B176, ""en"", ""pl"")"),"Arena treningowa mag")</f>
        <v>Arena treningowa mag</v>
      </c>
      <c r="J176" s="25" t="str">
        <f>IFERROR(__xludf.DUMMYFUNCTION("GOOGLETRANSLATE(B176, ""en"", ""zh"")"),"法师训练领域")</f>
        <v>法师训练领域</v>
      </c>
      <c r="K176" s="25" t="str">
        <f>IFERROR(__xludf.DUMMYFUNCTION("GOOGLETRANSLATE(B176, ""en"", ""vi"")"),"Đạo trường đào tạo MAGE")</f>
        <v>Đạo trường đào tạo MAGE</v>
      </c>
      <c r="L176" s="23" t="str">
        <f>IFERROR(__xludf.DUMMYFUNCTION("GOOGLETRANSLATE(B176, ""en"", ""hr"")"),"Mage trening arena")</f>
        <v>Mage trening arena</v>
      </c>
      <c r="M176" s="23"/>
      <c r="N176" s="26"/>
      <c r="O176" s="26"/>
      <c r="P176" s="26"/>
      <c r="Q176" s="26"/>
      <c r="R176" s="26"/>
      <c r="S176" s="26"/>
      <c r="T176" s="26"/>
      <c r="U176" s="26"/>
      <c r="V176" s="26"/>
      <c r="W176" s="26"/>
      <c r="X176" s="26"/>
      <c r="Y176" s="26"/>
      <c r="Z176" s="26"/>
      <c r="AA176" s="26"/>
      <c r="AB176" s="26"/>
    </row>
    <row r="177">
      <c r="A177" s="21" t="s">
        <v>411</v>
      </c>
      <c r="B177" s="22" t="s">
        <v>412</v>
      </c>
      <c r="C177" s="23" t="s">
        <v>413</v>
      </c>
      <c r="D177" s="23" t="str">
        <f>IFERROR(__xludf.DUMMYFUNCTION("GOOGLETRANSLATE(B177, ""en"", ""es"")"),"Patada")</f>
        <v>Patada</v>
      </c>
      <c r="E177" s="23" t="str">
        <f>IFERROR(__xludf.DUMMYFUNCTION("GOOGLETRANSLATE(B177, ""en"", ""ru"")"),"Пинать")</f>
        <v>Пинать</v>
      </c>
      <c r="F177" s="23" t="str">
        <f>IFERROR(__xludf.DUMMYFUNCTION("GOOGLETRANSLATE(B177, ""en"", ""tr"")"),"Tekme atmak")</f>
        <v>Tekme atmak</v>
      </c>
      <c r="G177" s="23" t="str">
        <f>IFERROR(__xludf.DUMMYFUNCTION("GOOGLETRANSLATE(B177, ""en"", ""pt"")"),"Chute")</f>
        <v>Chute</v>
      </c>
      <c r="H177" s="24" t="str">
        <f>IFERROR(__xludf.DUMMYFUNCTION("GOOGLETRANSLATE(B177, ""en"", ""de"")"),"Trete")</f>
        <v>Trete</v>
      </c>
      <c r="I177" s="23" t="str">
        <f>IFERROR(__xludf.DUMMYFUNCTION("GOOGLETRANSLATE(B177, ""en"", ""pl"")"),"kopnięcie")</f>
        <v>kopnięcie</v>
      </c>
      <c r="J177" s="25" t="str">
        <f>IFERROR(__xludf.DUMMYFUNCTION("GOOGLETRANSLATE(B177, ""en"", ""zh"")"),"踢")</f>
        <v>踢</v>
      </c>
      <c r="K177" s="25" t="str">
        <f>IFERROR(__xludf.DUMMYFUNCTION("GOOGLETRANSLATE(B177, ""en"", ""vi"")"),"Đá")</f>
        <v>Đá</v>
      </c>
      <c r="L177" s="23" t="str">
        <f>IFERROR(__xludf.DUMMYFUNCTION("GOOGLETRANSLATE(B177, ""en"", ""hr"")"),"Udar")</f>
        <v>Udar</v>
      </c>
      <c r="M177" s="23"/>
      <c r="N177" s="26"/>
      <c r="O177" s="26"/>
      <c r="P177" s="26"/>
      <c r="Q177" s="26"/>
      <c r="R177" s="26"/>
      <c r="S177" s="26"/>
      <c r="T177" s="26"/>
      <c r="U177" s="26"/>
      <c r="V177" s="26"/>
      <c r="W177" s="26"/>
      <c r="X177" s="26"/>
      <c r="Y177" s="26"/>
      <c r="Z177" s="26"/>
      <c r="AA177" s="26"/>
      <c r="AB177" s="26"/>
    </row>
    <row r="178">
      <c r="A178" s="21" t="s">
        <v>414</v>
      </c>
      <c r="B178" s="22" t="s">
        <v>415</v>
      </c>
      <c r="C178" s="23" t="str">
        <f>IFERROR(__xludf.DUMMYFUNCTION("GOOGLETRANSLATE(B178, ""en"", ""fr"")"),"Promouvoir")</f>
        <v>Promouvoir</v>
      </c>
      <c r="D178" s="23" t="str">
        <f>IFERROR(__xludf.DUMMYFUNCTION("GOOGLETRANSLATE(B178, ""en"", ""es"")"),"Promover")</f>
        <v>Promover</v>
      </c>
      <c r="E178" s="23" t="str">
        <f>IFERROR(__xludf.DUMMYFUNCTION("GOOGLETRANSLATE(B178, ""en"", ""ru"")"),"Продвигать")</f>
        <v>Продвигать</v>
      </c>
      <c r="F178" s="23" t="str">
        <f>IFERROR(__xludf.DUMMYFUNCTION("GOOGLETRANSLATE(B178, ""en"", ""tr"")"),"Terfi")</f>
        <v>Terfi</v>
      </c>
      <c r="G178" s="23" t="str">
        <f>IFERROR(__xludf.DUMMYFUNCTION("GOOGLETRANSLATE(B178, ""en"", ""pt"")"),"Promover")</f>
        <v>Promover</v>
      </c>
      <c r="H178" s="24" t="str">
        <f>IFERROR(__xludf.DUMMYFUNCTION("GOOGLETRANSLATE(B178, ""en"", ""de"")"),"Fördern")</f>
        <v>Fördern</v>
      </c>
      <c r="I178" s="23" t="str">
        <f>IFERROR(__xludf.DUMMYFUNCTION("GOOGLETRANSLATE(B178, ""en"", ""pl"")"),"Promować")</f>
        <v>Promować</v>
      </c>
      <c r="J178" s="25" t="str">
        <f>IFERROR(__xludf.DUMMYFUNCTION("GOOGLETRANSLATE(B178, ""en"", ""zh"")"),"推动")</f>
        <v>推动</v>
      </c>
      <c r="K178" s="25" t="str">
        <f>IFERROR(__xludf.DUMMYFUNCTION("GOOGLETRANSLATE(B178, ""en"", ""vi"")"),"Khuyến khích")</f>
        <v>Khuyến khích</v>
      </c>
      <c r="L178" s="23" t="str">
        <f>IFERROR(__xludf.DUMMYFUNCTION("GOOGLETRANSLATE(B178, ""en"", ""hr"")"),"Promovirati")</f>
        <v>Promovirati</v>
      </c>
      <c r="M178" s="23"/>
      <c r="N178" s="26"/>
      <c r="O178" s="26"/>
      <c r="P178" s="26"/>
      <c r="Q178" s="26"/>
      <c r="R178" s="26"/>
      <c r="S178" s="26"/>
      <c r="T178" s="26"/>
      <c r="U178" s="26"/>
      <c r="V178" s="26"/>
      <c r="W178" s="26"/>
      <c r="X178" s="26"/>
      <c r="Y178" s="26"/>
      <c r="Z178" s="26"/>
      <c r="AA178" s="26"/>
      <c r="AB178" s="26"/>
    </row>
    <row r="179">
      <c r="A179" s="21" t="s">
        <v>416</v>
      </c>
      <c r="B179" s="22" t="s">
        <v>378</v>
      </c>
      <c r="C179" s="23" t="str">
        <f>IFERROR(__xludf.DUMMYFUNCTION("GOOGLETRANSLATE(B179, ""en"", ""fr"")"),"Partir")</f>
        <v>Partir</v>
      </c>
      <c r="D179" s="23" t="str">
        <f>IFERROR(__xludf.DUMMYFUNCTION("GOOGLETRANSLATE(B179, ""en"", ""es"")"),"Abandonar")</f>
        <v>Abandonar</v>
      </c>
      <c r="E179" s="23" t="str">
        <f>IFERROR(__xludf.DUMMYFUNCTION("GOOGLETRANSLATE(B179, ""en"", ""ru"")"),"Оставлять")</f>
        <v>Оставлять</v>
      </c>
      <c r="F179" s="23" t="str">
        <f>IFERROR(__xludf.DUMMYFUNCTION("GOOGLETRANSLATE(B179, ""en"", ""tr"")"),"Terk etmek")</f>
        <v>Terk etmek</v>
      </c>
      <c r="G179" s="23" t="str">
        <f>IFERROR(__xludf.DUMMYFUNCTION("GOOGLETRANSLATE(B179, ""en"", ""pt"")"),"Sair")</f>
        <v>Sair</v>
      </c>
      <c r="H179" s="24" t="str">
        <f>IFERROR(__xludf.DUMMYFUNCTION("GOOGLETRANSLATE(B179, ""en"", ""de"")"),"Verlassen")</f>
        <v>Verlassen</v>
      </c>
      <c r="I179" s="23" t="str">
        <f>IFERROR(__xludf.DUMMYFUNCTION("GOOGLETRANSLATE(B179, ""en"", ""pl"")"),"Wyjechać")</f>
        <v>Wyjechać</v>
      </c>
      <c r="J179" s="25" t="str">
        <f>IFERROR(__xludf.DUMMYFUNCTION("GOOGLETRANSLATE(B179, ""en"", ""zh"")"),"离开")</f>
        <v>离开</v>
      </c>
      <c r="K179" s="25" t="str">
        <f>IFERROR(__xludf.DUMMYFUNCTION("GOOGLETRANSLATE(B179, ""en"", ""vi"")"),"Rời bỏ")</f>
        <v>Rời bỏ</v>
      </c>
      <c r="L179" s="23" t="str">
        <f>IFERROR(__xludf.DUMMYFUNCTION("GOOGLETRANSLATE(B179, ""en"", ""hr"")"),"Napustiti")</f>
        <v>Napustiti</v>
      </c>
      <c r="M179" s="23"/>
      <c r="N179" s="26"/>
      <c r="O179" s="26"/>
      <c r="P179" s="26"/>
      <c r="Q179" s="26"/>
      <c r="R179" s="26"/>
      <c r="S179" s="26"/>
      <c r="T179" s="26"/>
      <c r="U179" s="26"/>
      <c r="V179" s="26"/>
      <c r="W179" s="26"/>
      <c r="X179" s="26"/>
      <c r="Y179" s="26"/>
      <c r="Z179" s="26"/>
      <c r="AA179" s="26"/>
      <c r="AB179" s="26"/>
    </row>
    <row r="180">
      <c r="A180" s="21" t="s">
        <v>188</v>
      </c>
      <c r="B180" s="22" t="s">
        <v>188</v>
      </c>
      <c r="C180" s="23" t="str">
        <f>IFERROR(__xludf.DUMMYFUNCTION("GOOGLETRANSLATE(B180, ""en"", ""fr"")"),"Clan")</f>
        <v>Clan</v>
      </c>
      <c r="D180" s="23" t="str">
        <f>IFERROR(__xludf.DUMMYFUNCTION("GOOGLETRANSLATE(B180, ""en"", ""es"")"),"Clan")</f>
        <v>Clan</v>
      </c>
      <c r="E180" s="23" t="str">
        <f>IFERROR(__xludf.DUMMYFUNCTION("GOOGLETRANSLATE(B180, ""en"", ""ru"")"),"Клан")</f>
        <v>Клан</v>
      </c>
      <c r="F180" s="23" t="str">
        <f>IFERROR(__xludf.DUMMYFUNCTION("GOOGLETRANSLATE(B180, ""en"", ""tr"")"),"Klan")</f>
        <v>Klan</v>
      </c>
      <c r="G180" s="23" t="str">
        <f>IFERROR(__xludf.DUMMYFUNCTION("GOOGLETRANSLATE(B180, ""en"", ""pt"")"),"Clã")</f>
        <v>Clã</v>
      </c>
      <c r="H180" s="24" t="str">
        <f>IFERROR(__xludf.DUMMYFUNCTION("GOOGLETRANSLATE(B180, ""en"", ""de"")"),"Clan")</f>
        <v>Clan</v>
      </c>
      <c r="I180" s="23" t="str">
        <f>IFERROR(__xludf.DUMMYFUNCTION("GOOGLETRANSLATE(B180, ""en"", ""pl"")"),"Klan")</f>
        <v>Klan</v>
      </c>
      <c r="J180" s="25" t="str">
        <f>IFERROR(__xludf.DUMMYFUNCTION("GOOGLETRANSLATE(B180, ""en"", ""zh"")"),"氏族")</f>
        <v>氏族</v>
      </c>
      <c r="K180" s="25" t="str">
        <f>IFERROR(__xludf.DUMMYFUNCTION("GOOGLETRANSLATE(B180, ""en"", ""vi"")"),"Gia tộc")</f>
        <v>Gia tộc</v>
      </c>
      <c r="L180" s="23" t="str">
        <f>IFERROR(__xludf.DUMMYFUNCTION("GOOGLETRANSLATE(B180, ""en"", ""hr"")"),"Klan")</f>
        <v>Klan</v>
      </c>
      <c r="M180" s="23"/>
      <c r="N180" s="26"/>
      <c r="O180" s="26"/>
      <c r="P180" s="26"/>
      <c r="Q180" s="26"/>
      <c r="R180" s="26"/>
      <c r="S180" s="26"/>
      <c r="T180" s="26"/>
      <c r="U180" s="26"/>
      <c r="V180" s="26"/>
      <c r="W180" s="26"/>
      <c r="X180" s="26"/>
      <c r="Y180" s="26"/>
      <c r="Z180" s="26"/>
      <c r="AA180" s="26"/>
      <c r="AB180" s="26"/>
    </row>
    <row r="181">
      <c r="A181" s="21" t="s">
        <v>417</v>
      </c>
      <c r="B181" s="22" t="s">
        <v>418</v>
      </c>
      <c r="C181" s="23" t="str">
        <f>IFERROR(__xludf.DUMMYFUNCTION("GOOGLETRANSLATE(B181, ""en"", ""fr"")"),"Vous êtes déjà dans un clan.")</f>
        <v>Vous êtes déjà dans un clan.</v>
      </c>
      <c r="D181" s="23" t="str">
        <f>IFERROR(__xludf.DUMMYFUNCTION("GOOGLETRANSLATE(B181, ""en"", ""es"")"),"Ya estás en un clan.")</f>
        <v>Ya estás en un clan.</v>
      </c>
      <c r="E181" s="23" t="str">
        <f>IFERROR(__xludf.DUMMYFUNCTION("GOOGLETRANSLATE(B181, ""en"", ""ru"")"),"Вы уже в клане.")</f>
        <v>Вы уже в клане.</v>
      </c>
      <c r="F181" s="23" t="str">
        <f>IFERROR(__xludf.DUMMYFUNCTION("GOOGLETRANSLATE(B181, ""en"", ""tr"")"),"Zaten bir klandasın.")</f>
        <v>Zaten bir klandasın.</v>
      </c>
      <c r="G181" s="23" t="str">
        <f>IFERROR(__xludf.DUMMYFUNCTION("GOOGLETRANSLATE(B181, ""en"", ""pt"")"),"Você já está em um clã.")</f>
        <v>Você já está em um clã.</v>
      </c>
      <c r="H181" s="24" t="str">
        <f>IFERROR(__xludf.DUMMYFUNCTION("GOOGLETRANSLATE(B181, ""en"", ""de"")"),"Sie sind bereits in einem Clan.")</f>
        <v>Sie sind bereits in einem Clan.</v>
      </c>
      <c r="I181" s="23" t="str">
        <f>IFERROR(__xludf.DUMMYFUNCTION("GOOGLETRANSLATE(B181, ""en"", ""pl"")"),"Jesteś już w klanie.")</f>
        <v>Jesteś już w klanie.</v>
      </c>
      <c r="J181" s="25" t="str">
        <f>IFERROR(__xludf.DUMMYFUNCTION("GOOGLETRANSLATE(B181, ""en"", ""zh"")"),"你已经在一个氏族里了。")</f>
        <v>你已经在一个氏族里了。</v>
      </c>
      <c r="K181" s="25" t="str">
        <f>IFERROR(__xludf.DUMMYFUNCTION("GOOGLETRANSLATE(B181, ""en"", ""vi"")"),"Bạn đã ở trong một gia tộc.")</f>
        <v>Bạn đã ở trong một gia tộc.</v>
      </c>
      <c r="L181" s="23" t="str">
        <f>IFERROR(__xludf.DUMMYFUNCTION("GOOGLETRANSLATE(B181, ""en"", ""hr"")"),"Već ste u klanu.")</f>
        <v>Već ste u klanu.</v>
      </c>
      <c r="M181" s="23"/>
      <c r="N181" s="26"/>
      <c r="O181" s="26"/>
      <c r="P181" s="26"/>
      <c r="Q181" s="26"/>
      <c r="R181" s="26"/>
      <c r="S181" s="26"/>
      <c r="T181" s="26"/>
      <c r="U181" s="26"/>
      <c r="V181" s="26"/>
      <c r="W181" s="26"/>
      <c r="X181" s="26"/>
      <c r="Y181" s="26"/>
      <c r="Z181" s="26"/>
      <c r="AA181" s="26"/>
      <c r="AB181" s="26"/>
    </row>
    <row r="182">
      <c r="A182" s="21" t="s">
        <v>419</v>
      </c>
      <c r="B182" s="22" t="s">
        <v>420</v>
      </c>
      <c r="C182" s="23" t="s">
        <v>421</v>
      </c>
      <c r="D182" s="23" t="str">
        <f>IFERROR(__xludf.DUMMYFUNCTION("GOOGLETRANSLATE(B182, ""en"", ""es"")"),"¡El clan se unió!")</f>
        <v>¡El clan se unió!</v>
      </c>
      <c r="E182" s="23" t="str">
        <f>IFERROR(__xludf.DUMMYFUNCTION("GOOGLETRANSLATE(B182, ""en"", ""ru"")"),"Клан присоединился!")</f>
        <v>Клан присоединился!</v>
      </c>
      <c r="F182" s="23" t="str">
        <f>IFERROR(__xludf.DUMMYFUNCTION("GOOGLETRANSLATE(B182, ""en"", ""tr"")"),"Klan katıldı!")</f>
        <v>Klan katıldı!</v>
      </c>
      <c r="G182" s="23" t="str">
        <f>IFERROR(__xludf.DUMMYFUNCTION("GOOGLETRANSLATE(B182, ""en"", ""pt"")"),"Clan entrou!")</f>
        <v>Clan entrou!</v>
      </c>
      <c r="H182" s="24" t="str">
        <f>IFERROR(__xludf.DUMMYFUNCTION("GOOGLETRANSLATE(B182, ""en"", ""de"")"),"Clan kam bei!")</f>
        <v>Clan kam bei!</v>
      </c>
      <c r="I182" s="23" t="str">
        <f>IFERROR(__xludf.DUMMYFUNCTION("GOOGLETRANSLATE(B182, ""en"", ""pl"")"),"Klan dołączył!")</f>
        <v>Klan dołączył!</v>
      </c>
      <c r="J182" s="25" t="str">
        <f>IFERROR(__xludf.DUMMYFUNCTION("GOOGLETRANSLATE(B182, ""en"", ""zh"")"),"氏族加入了！")</f>
        <v>氏族加入了！</v>
      </c>
      <c r="K182" s="25" t="str">
        <f>IFERROR(__xludf.DUMMYFUNCTION("GOOGLETRANSLATE(B182, ""en"", ""vi"")"),"Gia tộc tham gia!")</f>
        <v>Gia tộc tham gia!</v>
      </c>
      <c r="L182" s="23" t="str">
        <f>IFERROR(__xludf.DUMMYFUNCTION("GOOGLETRANSLATE(B182, ""en"", ""hr"")"),"Clan se pridružio!")</f>
        <v>Clan se pridružio!</v>
      </c>
      <c r="M182" s="23"/>
      <c r="N182" s="26"/>
      <c r="O182" s="26"/>
      <c r="P182" s="26"/>
      <c r="Q182" s="26"/>
      <c r="R182" s="26"/>
      <c r="S182" s="26"/>
      <c r="T182" s="26"/>
      <c r="U182" s="26"/>
      <c r="V182" s="26"/>
      <c r="W182" s="26"/>
      <c r="X182" s="26"/>
      <c r="Y182" s="26"/>
      <c r="Z182" s="26"/>
      <c r="AA182" s="26"/>
      <c r="AB182" s="26"/>
    </row>
    <row r="183">
      <c r="A183" s="21" t="s">
        <v>422</v>
      </c>
      <c r="B183" s="22" t="s">
        <v>423</v>
      </c>
      <c r="C183" s="23" t="str">
        <f>IFERROR(__xludf.DUMMYFUNCTION("GOOGLETRANSLATE(B183, ""en"", ""fr"")"),"Limite de structure du clan atteint.")</f>
        <v>Limite de structure du clan atteint.</v>
      </c>
      <c r="D183" s="23" t="str">
        <f>IFERROR(__xludf.DUMMYFUNCTION("GOOGLETRANSLATE(B183, ""en"", ""es"")"),"Límite de estructura del clan alcanzado.")</f>
        <v>Límite de estructura del clan alcanzado.</v>
      </c>
      <c r="E183" s="23" t="str">
        <f>IFERROR(__xludf.DUMMYFUNCTION("GOOGLETRANSLATE(B183, ""en"", ""ru"")"),"Ограничение структуры клана достигнуто.")</f>
        <v>Ограничение структуры клана достигнуто.</v>
      </c>
      <c r="F183" s="23" t="str">
        <f>IFERROR(__xludf.DUMMYFUNCTION("GOOGLETRANSLATE(B183, ""en"", ""tr"")"),"Klan yapısı sınırı ulaşıldı.")</f>
        <v>Klan yapısı sınırı ulaşıldı.</v>
      </c>
      <c r="G183" s="23" t="str">
        <f>IFERROR(__xludf.DUMMYFUNCTION("GOOGLETRANSLATE(B183, ""en"", ""pt"")"),"Limite da estrutura do clã alcançado.")</f>
        <v>Limite da estrutura do clã alcançado.</v>
      </c>
      <c r="H183" s="24" t="str">
        <f>IFERROR(__xludf.DUMMYFUNCTION("GOOGLETRANSLATE(B183, ""en"", ""de"")"),"Clan -Strukturgrenze erreicht.")</f>
        <v>Clan -Strukturgrenze erreicht.</v>
      </c>
      <c r="I183" s="23" t="str">
        <f>IFERROR(__xludf.DUMMYFUNCTION("GOOGLETRANSLATE(B183, ""en"", ""pl"")"),"Osiągnięto limit struktury klanu.")</f>
        <v>Osiągnięto limit struktury klanu.</v>
      </c>
      <c r="J183" s="25" t="str">
        <f>IFERROR(__xludf.DUMMYFUNCTION("GOOGLETRANSLATE(B183, ""en"", ""zh"")"),"氏族结构限制达到了。")</f>
        <v>氏族结构限制达到了。</v>
      </c>
      <c r="K183" s="25" t="str">
        <f>IFERROR(__xludf.DUMMYFUNCTION("GOOGLETRANSLATE(B183, ""en"", ""vi"")"),"Giới hạn cấu trúc gia tộc đạt được.")</f>
        <v>Giới hạn cấu trúc gia tộc đạt được.</v>
      </c>
      <c r="L183" s="23" t="str">
        <f>IFERROR(__xludf.DUMMYFUNCTION("GOOGLETRANSLATE(B183, ""en"", ""hr"")"),"Ograničena granica klana.")</f>
        <v>Ograničena granica klana.</v>
      </c>
      <c r="M183" s="23"/>
      <c r="N183" s="26"/>
      <c r="O183" s="26"/>
      <c r="P183" s="26"/>
      <c r="Q183" s="26"/>
      <c r="R183" s="26"/>
      <c r="S183" s="26"/>
      <c r="T183" s="26"/>
      <c r="U183" s="26"/>
      <c r="V183" s="26"/>
      <c r="W183" s="26"/>
      <c r="X183" s="26"/>
      <c r="Y183" s="26"/>
      <c r="Z183" s="26"/>
      <c r="AA183" s="26"/>
      <c r="AB183" s="26"/>
    </row>
    <row r="184">
      <c r="A184" s="21" t="s">
        <v>424</v>
      </c>
      <c r="B184" s="22" t="s">
        <v>425</v>
      </c>
      <c r="C184" s="23" t="s">
        <v>426</v>
      </c>
      <c r="D184" s="23" t="str">
        <f>IFERROR(__xludf.DUMMYFUNCTION("GOOGLETRANSLATE(B184, ""en"", ""es"")"),"¡Tu clan ha sido destruido!")</f>
        <v>¡Tu clan ha sido destruido!</v>
      </c>
      <c r="E184" s="23" t="str">
        <f>IFERROR(__xludf.DUMMYFUNCTION("GOOGLETRANSLATE(B184, ""en"", ""ru"")"),"Ваш клан был уничтожен!")</f>
        <v>Ваш клан был уничтожен!</v>
      </c>
      <c r="F184" s="23" t="str">
        <f>IFERROR(__xludf.DUMMYFUNCTION("GOOGLETRANSLATE(B184, ""en"", ""tr"")"),"Klanınız yok edildi!")</f>
        <v>Klanınız yok edildi!</v>
      </c>
      <c r="G184" s="23" t="str">
        <f>IFERROR(__xludf.DUMMYFUNCTION("GOOGLETRANSLATE(B184, ""en"", ""pt"")"),"Seu clã foi destruído!")</f>
        <v>Seu clã foi destruído!</v>
      </c>
      <c r="H184" s="24" t="str">
        <f>IFERROR(__xludf.DUMMYFUNCTION("GOOGLETRANSLATE(B184, ""en"", ""de"")"),"Dein Clan wurde zerstört!")</f>
        <v>Dein Clan wurde zerstört!</v>
      </c>
      <c r="I184" s="23" t="str">
        <f>IFERROR(__xludf.DUMMYFUNCTION("GOOGLETRANSLATE(B184, ""en"", ""pl"")"),"Twój klan został zniszczony!")</f>
        <v>Twój klan został zniszczony!</v>
      </c>
      <c r="J184" s="25" t="str">
        <f>IFERROR(__xludf.DUMMYFUNCTION("GOOGLETRANSLATE(B184, ""en"", ""zh"")"),"你的氏族被摧毁了！")</f>
        <v>你的氏族被摧毁了！</v>
      </c>
      <c r="K184" s="25" t="str">
        <f>IFERROR(__xludf.DUMMYFUNCTION("GOOGLETRANSLATE(B184, ""en"", ""vi"")"),"Gia tộc của bạn đã bị phá hủy!")</f>
        <v>Gia tộc của bạn đã bị phá hủy!</v>
      </c>
      <c r="L184" s="23" t="str">
        <f>IFERROR(__xludf.DUMMYFUNCTION("GOOGLETRANSLATE(B184, ""en"", ""hr"")"),"Vaš je klan uništen!")</f>
        <v>Vaš je klan uništen!</v>
      </c>
      <c r="M184" s="23"/>
      <c r="N184" s="26"/>
      <c r="O184" s="26"/>
      <c r="P184" s="26"/>
      <c r="Q184" s="26"/>
      <c r="R184" s="26"/>
      <c r="S184" s="26"/>
      <c r="T184" s="26"/>
      <c r="U184" s="26"/>
      <c r="V184" s="26"/>
      <c r="W184" s="26"/>
      <c r="X184" s="26"/>
      <c r="Y184" s="26"/>
      <c r="Z184" s="26"/>
      <c r="AA184" s="26"/>
      <c r="AB184" s="26"/>
    </row>
    <row r="185">
      <c r="A185" s="21" t="s">
        <v>427</v>
      </c>
      <c r="B185" s="22" t="s">
        <v>428</v>
      </c>
      <c r="C185" s="23" t="s">
        <v>429</v>
      </c>
      <c r="D185" s="23" t="str">
        <f>IFERROR(__xludf.DUMMYFUNCTION("GOOGLETRANSLATE(B185, ""en"", ""es"")"),"Miembro del clan pateado:")</f>
        <v>Miembro del clan pateado:</v>
      </c>
      <c r="E185" s="23" t="str">
        <f>IFERROR(__xludf.DUMMYFUNCTION("GOOGLETRANSLATE(B185, ""en"", ""ru"")"),"Участник клана ударил:")</f>
        <v>Участник клана ударил:</v>
      </c>
      <c r="F185" s="23" t="str">
        <f>IFERROR(__xludf.DUMMYFUNCTION("GOOGLETRANSLATE(B185, ""en"", ""tr"")"),"Klan Üyesi Tekmeledi:")</f>
        <v>Klan Üyesi Tekmeledi:</v>
      </c>
      <c r="G185" s="23" t="str">
        <f>IFERROR(__xludf.DUMMYFUNCTION("GOOGLETRANSLATE(B185, ""en"", ""pt"")"),"O membro do clã chutou:")</f>
        <v>O membro do clã chutou:</v>
      </c>
      <c r="H185" s="24" t="str">
        <f>IFERROR(__xludf.DUMMYFUNCTION("GOOGLETRANSLATE(B185, ""en"", ""de"")"),"Clan -Mitglied getreten:")</f>
        <v>Clan -Mitglied getreten:</v>
      </c>
      <c r="I185" s="23" t="str">
        <f>IFERROR(__xludf.DUMMYFUNCTION("GOOGLETRANSLATE(B185, ""en"", ""pl"")"),"Członek klanu kopnął:")</f>
        <v>Członek klanu kopnął:</v>
      </c>
      <c r="J185" s="25" t="str">
        <f>IFERROR(__xludf.DUMMYFUNCTION("GOOGLETRANSLATE(B185, ""en"", ""zh"")"),"氏族成员踢了：")</f>
        <v>氏族成员踢了：</v>
      </c>
      <c r="K185" s="25" t="str">
        <f>IFERROR(__xludf.DUMMYFUNCTION("GOOGLETRANSLATE(B185, ""en"", ""vi"")"),"Thành viên gia tộc đá:")</f>
        <v>Thành viên gia tộc đá:</v>
      </c>
      <c r="L185" s="23" t="str">
        <f>IFERROR(__xludf.DUMMYFUNCTION("GOOGLETRANSLATE(B185, ""en"", ""hr"")"),"Član klana udario je:")</f>
        <v>Član klana udario je:</v>
      </c>
      <c r="M185" s="23"/>
      <c r="N185" s="26"/>
      <c r="O185" s="26"/>
      <c r="P185" s="26"/>
      <c r="Q185" s="26"/>
      <c r="R185" s="26"/>
      <c r="S185" s="26"/>
      <c r="T185" s="26"/>
      <c r="U185" s="26"/>
      <c r="V185" s="26"/>
      <c r="W185" s="26"/>
      <c r="X185" s="26"/>
      <c r="Y185" s="26"/>
      <c r="Z185" s="26"/>
      <c r="AA185" s="26"/>
      <c r="AB185" s="26"/>
    </row>
    <row r="186">
      <c r="A186" s="21" t="s">
        <v>430</v>
      </c>
      <c r="B186" s="22" t="s">
        <v>431</v>
      </c>
      <c r="C186" s="23" t="str">
        <f>IFERROR(__xludf.DUMMYFUNCTION("GOOGLETRANSLATE(B186, ""en"", ""fr"")"),"Vous avez été promu dans votre clan.")</f>
        <v>Vous avez été promu dans votre clan.</v>
      </c>
      <c r="D186" s="23" t="str">
        <f>IFERROR(__xludf.DUMMYFUNCTION("GOOGLETRANSLATE(B186, ""en"", ""es"")"),"Has sido promovido en tu clan.")</f>
        <v>Has sido promovido en tu clan.</v>
      </c>
      <c r="E186" s="23" t="str">
        <f>IFERROR(__xludf.DUMMYFUNCTION("GOOGLETRANSLATE(B186, ""en"", ""ru"")"),"Вы были повышены в своем клане.")</f>
        <v>Вы были повышены в своем клане.</v>
      </c>
      <c r="F186" s="23" t="str">
        <f>IFERROR(__xludf.DUMMYFUNCTION("GOOGLETRANSLATE(B186, ""en"", ""tr"")"),"Klanınızda terfi ettiniz.")</f>
        <v>Klanınızda terfi ettiniz.</v>
      </c>
      <c r="G186" s="23" t="str">
        <f>IFERROR(__xludf.DUMMYFUNCTION("GOOGLETRANSLATE(B186, ""en"", ""pt"")"),"Você foi promovido em seu clã.")</f>
        <v>Você foi promovido em seu clã.</v>
      </c>
      <c r="H186" s="24" t="str">
        <f>IFERROR(__xludf.DUMMYFUNCTION("GOOGLETRANSLATE(B186, ""en"", ""de"")"),"Sie wurden in Ihrem Clan befördert.")</f>
        <v>Sie wurden in Ihrem Clan befördert.</v>
      </c>
      <c r="I186" s="23" t="str">
        <f>IFERROR(__xludf.DUMMYFUNCTION("GOOGLETRANSLATE(B186, ""en"", ""pl"")"),"Byłeś awansowany w swoim klanie.")</f>
        <v>Byłeś awansowany w swoim klanie.</v>
      </c>
      <c r="J186" s="25" t="str">
        <f>IFERROR(__xludf.DUMMYFUNCTION("GOOGLETRANSLATE(B186, ""en"", ""zh"")"),"您已经在氏族中晋升。")</f>
        <v>您已经在氏族中晋升。</v>
      </c>
      <c r="K186" s="25" t="str">
        <f>IFERROR(__xludf.DUMMYFUNCTION("GOOGLETRANSLATE(B186, ""en"", ""vi"")"),"Bạn đã được thăng chức trong gia tộc của bạn.")</f>
        <v>Bạn đã được thăng chức trong gia tộc của bạn.</v>
      </c>
      <c r="L186" s="23" t="str">
        <f>IFERROR(__xludf.DUMMYFUNCTION("GOOGLETRANSLATE(B186, ""en"", ""hr"")"),"Promovirani ste u svom klanu.")</f>
        <v>Promovirani ste u svom klanu.</v>
      </c>
      <c r="M186" s="23"/>
      <c r="N186" s="26"/>
      <c r="O186" s="26"/>
      <c r="P186" s="26"/>
      <c r="Q186" s="26"/>
      <c r="R186" s="26"/>
      <c r="S186" s="26"/>
      <c r="T186" s="26"/>
      <c r="U186" s="26"/>
      <c r="V186" s="26"/>
      <c r="W186" s="26"/>
      <c r="X186" s="26"/>
      <c r="Y186" s="26"/>
      <c r="Z186" s="26"/>
      <c r="AA186" s="26"/>
      <c r="AB186" s="26"/>
    </row>
    <row r="187">
      <c r="A187" s="21" t="s">
        <v>432</v>
      </c>
      <c r="B187" s="22" t="s">
        <v>433</v>
      </c>
      <c r="C187" s="23" t="s">
        <v>434</v>
      </c>
      <c r="D187" s="23" t="str">
        <f>IFERROR(__xludf.DUMMYFUNCTION("GOOGLETRANSLATE(B187, ""en"", ""es"")"),"Pickaxe necesitaba extraer mineral.")</f>
        <v>Pickaxe necesitaba extraer mineral.</v>
      </c>
      <c r="E187" s="23" t="str">
        <f>IFERROR(__xludf.DUMMYFUNCTION("GOOGLETRANSLATE(B187, ""en"", ""ru"")"),"Пикса необходима для добычи руды.")</f>
        <v>Пикса необходима для добычи руды.</v>
      </c>
      <c r="F187" s="23" t="str">
        <f>IFERROR(__xludf.DUMMYFUNCTION("GOOGLETRANSLATE(B187, ""en"", ""tr"")"),"Pickaxe'nin cevher maddesi olması gerekiyordu.")</f>
        <v>Pickaxe'nin cevher maddesi olması gerekiyordu.</v>
      </c>
      <c r="G187" s="23" t="str">
        <f>IFERROR(__xludf.DUMMYFUNCTION("GOOGLETRANSLATE(B187, ""en"", ""pt"")"),"Picareta necessária para minerar minério.")</f>
        <v>Picareta necessária para minerar minério.</v>
      </c>
      <c r="H187" s="24" t="str">
        <f>IFERROR(__xludf.DUMMYFUNCTION("GOOGLETRANSLATE(B187, ""en"", ""de"")"),"Pickaxe musste Erz abbauen.")</f>
        <v>Pickaxe musste Erz abbauen.</v>
      </c>
      <c r="I187" s="23" t="str">
        <f>IFERROR(__xludf.DUMMYFUNCTION("GOOGLETRANSLATE(B187, ""en"", ""pl"")"),"Pickaxe potrzebował wydobycia rudy.")</f>
        <v>Pickaxe potrzebował wydobycia rudy.</v>
      </c>
      <c r="J187" s="25" t="str">
        <f>IFERROR(__xludf.DUMMYFUNCTION("GOOGLETRANSLATE(B187, ""en"", ""zh"")"),"挖矿需要挖掘。")</f>
        <v>挖矿需要挖掘。</v>
      </c>
      <c r="K187" s="25" t="str">
        <f>IFERROR(__xludf.DUMMYFUNCTION("GOOGLETRANSLATE(B187, ""en"", ""vi"")"),"Pickaxe cần thiết để khai thác quặng.")</f>
        <v>Pickaxe cần thiết để khai thác quặng.</v>
      </c>
      <c r="L187" s="23" t="str">
        <f>IFERROR(__xludf.DUMMYFUNCTION("GOOGLETRANSLATE(B187, ""en"", ""hr"")"),"Pickaxe je trebao minirati rudu.")</f>
        <v>Pickaxe je trebao minirati rudu.</v>
      </c>
      <c r="M187" s="23"/>
      <c r="N187" s="26"/>
      <c r="O187" s="26"/>
      <c r="P187" s="26"/>
      <c r="Q187" s="26"/>
      <c r="R187" s="26"/>
      <c r="S187" s="26"/>
      <c r="T187" s="26"/>
      <c r="U187" s="26"/>
      <c r="V187" s="26"/>
      <c r="W187" s="26"/>
      <c r="X187" s="26"/>
      <c r="Y187" s="26"/>
      <c r="Z187" s="26"/>
      <c r="AA187" s="26"/>
      <c r="AB187" s="26"/>
    </row>
    <row r="188">
      <c r="A188" s="21" t="s">
        <v>435</v>
      </c>
      <c r="B188" s="22" t="s">
        <v>435</v>
      </c>
      <c r="C188" s="23" t="s">
        <v>436</v>
      </c>
      <c r="D188" s="23" t="str">
        <f>IFERROR(__xludf.DUMMYFUNCTION("GOOGLETRANSLATE(B188, ""en"", ""es"")"),"Artículo de recogida")</f>
        <v>Artículo de recogida</v>
      </c>
      <c r="E188" s="23" t="str">
        <f>IFERROR(__xludf.DUMMYFUNCTION("GOOGLETRANSLATE(B188, ""en"", ""ru"")"),"Забрать предмет")</f>
        <v>Забрать предмет</v>
      </c>
      <c r="F188" s="23" t="str">
        <f>IFERROR(__xludf.DUMMYFUNCTION("GOOGLETRANSLATE(B188, ""en"", ""tr"")"),"Öğeyi al")</f>
        <v>Öğeyi al</v>
      </c>
      <c r="G188" s="23" t="str">
        <f>IFERROR(__xludf.DUMMYFUNCTION("GOOGLETRANSLATE(B188, ""en"", ""pt"")"),"Pegue o item")</f>
        <v>Pegue o item</v>
      </c>
      <c r="H188" s="24" t="str">
        <f>IFERROR(__xludf.DUMMYFUNCTION("GOOGLETRANSLATE(B188, ""en"", ""de"")"),"Artikel abholen")</f>
        <v>Artikel abholen</v>
      </c>
      <c r="I188" s="23" t="str">
        <f>IFERROR(__xludf.DUMMYFUNCTION("GOOGLETRANSLATE(B188, ""en"", ""pl"")"),"Odbieraj przedmiot")</f>
        <v>Odbieraj przedmiot</v>
      </c>
      <c r="J188" s="25" t="str">
        <f>IFERROR(__xludf.DUMMYFUNCTION("GOOGLETRANSLATE(B188, ""en"", ""zh"")"),"拿起物品")</f>
        <v>拿起物品</v>
      </c>
      <c r="K188" s="25" t="str">
        <f>IFERROR(__xludf.DUMMYFUNCTION("GOOGLETRANSLATE(B188, ""en"", ""vi"")"),"Nhận vật phẩm")</f>
        <v>Nhận vật phẩm</v>
      </c>
      <c r="L188" s="23" t="str">
        <f>IFERROR(__xludf.DUMMYFUNCTION("GOOGLETRANSLATE(B188, ""en"", ""hr"")"),"Pokupite predmet")</f>
        <v>Pokupite predmet</v>
      </c>
      <c r="M188" s="23"/>
      <c r="N188" s="26"/>
      <c r="O188" s="26"/>
      <c r="P188" s="26"/>
      <c r="Q188" s="26"/>
      <c r="R188" s="26"/>
      <c r="S188" s="26"/>
      <c r="T188" s="26"/>
      <c r="U188" s="26"/>
      <c r="V188" s="26"/>
      <c r="W188" s="26"/>
      <c r="X188" s="26"/>
      <c r="Y188" s="26"/>
      <c r="Z188" s="26"/>
      <c r="AA188" s="26"/>
      <c r="AB188" s="26"/>
    </row>
    <row r="189">
      <c r="A189" s="21" t="s">
        <v>437</v>
      </c>
      <c r="B189" s="22" t="s">
        <v>437</v>
      </c>
      <c r="C189" s="23" t="str">
        <f>IFERROR(__xludf.DUMMYFUNCTION("GOOGLETRANSLATE(B189, ""en"", ""fr"")"),"Base")</f>
        <v>Base</v>
      </c>
      <c r="D189" s="23" t="str">
        <f>IFERROR(__xludf.DUMMYFUNCTION("GOOGLETRANSLATE(B189, ""en"", ""es"")"),"Base")</f>
        <v>Base</v>
      </c>
      <c r="E189" s="23" t="str">
        <f>IFERROR(__xludf.DUMMYFUNCTION("GOOGLETRANSLATE(B189, ""en"", ""ru"")"),"База")</f>
        <v>База</v>
      </c>
      <c r="F189" s="23" t="str">
        <f>IFERROR(__xludf.DUMMYFUNCTION("GOOGLETRANSLATE(B189, ""en"", ""tr"")"),"Temel")</f>
        <v>Temel</v>
      </c>
      <c r="G189" s="23" t="str">
        <f>IFERROR(__xludf.DUMMYFUNCTION("GOOGLETRANSLATE(B189, ""en"", ""pt"")"),"Base")</f>
        <v>Base</v>
      </c>
      <c r="H189" s="24" t="str">
        <f>IFERROR(__xludf.DUMMYFUNCTION("GOOGLETRANSLATE(B189, ""en"", ""de"")"),"Base")</f>
        <v>Base</v>
      </c>
      <c r="I189" s="23" t="str">
        <f>IFERROR(__xludf.DUMMYFUNCTION("GOOGLETRANSLATE(B189, ""en"", ""pl"")"),"Baza")</f>
        <v>Baza</v>
      </c>
      <c r="J189" s="25" t="str">
        <f>IFERROR(__xludf.DUMMYFUNCTION("GOOGLETRANSLATE(B189, ""en"", ""zh"")"),"根据")</f>
        <v>根据</v>
      </c>
      <c r="K189" s="25" t="str">
        <f>IFERROR(__xludf.DUMMYFUNCTION("GOOGLETRANSLATE(B189, ""en"", ""vi"")"),"Cơ sở")</f>
        <v>Cơ sở</v>
      </c>
      <c r="L189" s="23" t="str">
        <f>IFERROR(__xludf.DUMMYFUNCTION("GOOGLETRANSLATE(B189, ""en"", ""hr"")"),"Baza")</f>
        <v>Baza</v>
      </c>
      <c r="M189" s="23"/>
      <c r="N189" s="26"/>
      <c r="O189" s="26"/>
      <c r="P189" s="26"/>
      <c r="Q189" s="26"/>
      <c r="R189" s="26"/>
      <c r="S189" s="26"/>
      <c r="T189" s="26"/>
      <c r="U189" s="26"/>
      <c r="V189" s="26"/>
      <c r="W189" s="26"/>
      <c r="X189" s="26"/>
      <c r="Y189" s="26"/>
      <c r="Z189" s="26"/>
      <c r="AA189" s="26"/>
      <c r="AB189" s="26"/>
    </row>
    <row r="190">
      <c r="A190" s="21" t="s">
        <v>438</v>
      </c>
      <c r="B190" s="22" t="s">
        <v>438</v>
      </c>
      <c r="C190" s="23" t="str">
        <f>IFERROR(__xludf.DUMMYFUNCTION("GOOGLETRANSLATE(B190, ""en"", ""fr"")"),"Enclume")</f>
        <v>Enclume</v>
      </c>
      <c r="D190" s="23" t="str">
        <f>IFERROR(__xludf.DUMMYFUNCTION("GOOGLETRANSLATE(B190, ""en"", ""es"")"),"Yunque")</f>
        <v>Yunque</v>
      </c>
      <c r="E190" s="23" t="str">
        <f>IFERROR(__xludf.DUMMYFUNCTION("GOOGLETRANSLATE(B190, ""en"", ""ru"")"),"Наковальня")</f>
        <v>Наковальня</v>
      </c>
      <c r="F190" s="23" t="str">
        <f>IFERROR(__xludf.DUMMYFUNCTION("GOOGLETRANSLATE(B190, ""en"", ""tr"")"),"Örs")</f>
        <v>Örs</v>
      </c>
      <c r="G190" s="23" t="str">
        <f>IFERROR(__xludf.DUMMYFUNCTION("GOOGLETRANSLATE(B190, ""en"", ""pt"")"),"Bigorna")</f>
        <v>Bigorna</v>
      </c>
      <c r="H190" s="24" t="str">
        <f>IFERROR(__xludf.DUMMYFUNCTION("GOOGLETRANSLATE(B190, ""en"", ""de"")"),"Amboss")</f>
        <v>Amboss</v>
      </c>
      <c r="I190" s="23" t="str">
        <f>IFERROR(__xludf.DUMMYFUNCTION("GOOGLETRANSLATE(B190, ""en"", ""pl"")"),"Kowadło")</f>
        <v>Kowadło</v>
      </c>
      <c r="J190" s="25" t="str">
        <f>IFERROR(__xludf.DUMMYFUNCTION("GOOGLETRANSLATE(B190, ""en"", ""zh"")"),"砧")</f>
        <v>砧</v>
      </c>
      <c r="K190" s="25" t="str">
        <f>IFERROR(__xludf.DUMMYFUNCTION("GOOGLETRANSLATE(B190, ""en"", ""vi"")"),"Đe")</f>
        <v>Đe</v>
      </c>
      <c r="L190" s="23" t="str">
        <f>IFERROR(__xludf.DUMMYFUNCTION("GOOGLETRANSLATE(B190, ""en"", ""hr"")"),"Nakovanj")</f>
        <v>Nakovanj</v>
      </c>
      <c r="M190" s="23"/>
      <c r="N190" s="26"/>
      <c r="O190" s="26"/>
      <c r="P190" s="26"/>
      <c r="Q190" s="26"/>
      <c r="R190" s="26"/>
      <c r="S190" s="26"/>
      <c r="T190" s="26"/>
      <c r="U190" s="26"/>
      <c r="V190" s="26"/>
      <c r="W190" s="26"/>
      <c r="X190" s="26"/>
      <c r="Y190" s="26"/>
      <c r="Z190" s="26"/>
      <c r="AA190" s="26"/>
      <c r="AB190" s="26"/>
    </row>
    <row r="191">
      <c r="A191" s="21" t="s">
        <v>439</v>
      </c>
      <c r="B191" s="22" t="s">
        <v>439</v>
      </c>
      <c r="C191" s="23" t="str">
        <f>IFERROR(__xludf.DUMMYFUNCTION("GOOGLETRANSLATE(B191, ""en"", ""fr"")"),"fourneau")</f>
        <v>fourneau</v>
      </c>
      <c r="D191" s="23" t="str">
        <f>IFERROR(__xludf.DUMMYFUNCTION("GOOGLETRANSLATE(B191, ""en"", ""es"")"),"Horno")</f>
        <v>Horno</v>
      </c>
      <c r="E191" s="23" t="str">
        <f>IFERROR(__xludf.DUMMYFUNCTION("GOOGLETRANSLATE(B191, ""en"", ""ru"")"),"Печь")</f>
        <v>Печь</v>
      </c>
      <c r="F191" s="23" t="str">
        <f>IFERROR(__xludf.DUMMYFUNCTION("GOOGLETRANSLATE(B191, ""en"", ""tr"")"),"Fırın")</f>
        <v>Fırın</v>
      </c>
      <c r="G191" s="23" t="str">
        <f>IFERROR(__xludf.DUMMYFUNCTION("GOOGLETRANSLATE(B191, ""en"", ""pt"")"),"Forno")</f>
        <v>Forno</v>
      </c>
      <c r="H191" s="24" t="str">
        <f>IFERROR(__xludf.DUMMYFUNCTION("GOOGLETRANSLATE(B191, ""en"", ""de"")"),"Ofen")</f>
        <v>Ofen</v>
      </c>
      <c r="I191" s="23" t="str">
        <f>IFERROR(__xludf.DUMMYFUNCTION("GOOGLETRANSLATE(B191, ""en"", ""pl"")"),"Piec")</f>
        <v>Piec</v>
      </c>
      <c r="J191" s="25" t="str">
        <f>IFERROR(__xludf.DUMMYFUNCTION("GOOGLETRANSLATE(B191, ""en"", ""zh"")"),"炉")</f>
        <v>炉</v>
      </c>
      <c r="K191" s="25" t="str">
        <f>IFERROR(__xludf.DUMMYFUNCTION("GOOGLETRANSLATE(B191, ""en"", ""vi"")"),"Lò lửa")</f>
        <v>Lò lửa</v>
      </c>
      <c r="L191" s="23" t="str">
        <f>IFERROR(__xludf.DUMMYFUNCTION("GOOGLETRANSLATE(B191, ""en"", ""hr"")"),"Peć")</f>
        <v>Peć</v>
      </c>
      <c r="M191" s="23"/>
      <c r="N191" s="26"/>
      <c r="O191" s="26"/>
      <c r="P191" s="26"/>
      <c r="Q191" s="26"/>
      <c r="R191" s="26"/>
      <c r="S191" s="26"/>
      <c r="T191" s="26"/>
      <c r="U191" s="26"/>
      <c r="V191" s="26"/>
      <c r="W191" s="26"/>
      <c r="X191" s="26"/>
      <c r="Y191" s="26"/>
      <c r="Z191" s="26"/>
      <c r="AA191" s="26"/>
      <c r="AB191" s="26"/>
    </row>
    <row r="192">
      <c r="A192" s="21" t="s">
        <v>440</v>
      </c>
      <c r="B192" s="22" t="s">
        <v>440</v>
      </c>
      <c r="C192" s="23" t="str">
        <f>IFERROR(__xludf.DUMMYFUNCTION("GOOGLETRANSLATE(B192, ""en"", ""fr"")"),"Laboratoire")</f>
        <v>Laboratoire</v>
      </c>
      <c r="D192" s="23" t="str">
        <f>IFERROR(__xludf.DUMMYFUNCTION("GOOGLETRANSLATE(B192, ""en"", ""es"")"),"Laboratorio")</f>
        <v>Laboratorio</v>
      </c>
      <c r="E192" s="23" t="str">
        <f>IFERROR(__xludf.DUMMYFUNCTION("GOOGLETRANSLATE(B192, ""en"", ""ru"")"),"Лаборатория")</f>
        <v>Лаборатория</v>
      </c>
      <c r="F192" s="23" t="str">
        <f>IFERROR(__xludf.DUMMYFUNCTION("GOOGLETRANSLATE(B192, ""en"", ""tr"")"),"Laboratuvar")</f>
        <v>Laboratuvar</v>
      </c>
      <c r="G192" s="23" t="str">
        <f>IFERROR(__xludf.DUMMYFUNCTION("GOOGLETRANSLATE(B192, ""en"", ""pt"")"),"Laboratório")</f>
        <v>Laboratório</v>
      </c>
      <c r="H192" s="24" t="str">
        <f>IFERROR(__xludf.DUMMYFUNCTION("GOOGLETRANSLATE(B192, ""en"", ""de"")"),"Labor")</f>
        <v>Labor</v>
      </c>
      <c r="I192" s="23" t="str">
        <f>IFERROR(__xludf.DUMMYFUNCTION("GOOGLETRANSLATE(B192, ""en"", ""pl"")"),"Laboratorium")</f>
        <v>Laboratorium</v>
      </c>
      <c r="J192" s="25" t="str">
        <f>IFERROR(__xludf.DUMMYFUNCTION("GOOGLETRANSLATE(B192, ""en"", ""zh"")"),"实验室")</f>
        <v>实验室</v>
      </c>
      <c r="K192" s="25" t="str">
        <f>IFERROR(__xludf.DUMMYFUNCTION("GOOGLETRANSLATE(B192, ""en"", ""vi"")"),"Phòng thí nghiệm")</f>
        <v>Phòng thí nghiệm</v>
      </c>
      <c r="L192" s="23" t="str">
        <f>IFERROR(__xludf.DUMMYFUNCTION("GOOGLETRANSLATE(B192, ""en"", ""hr"")"),"Laboratorija")</f>
        <v>Laboratorija</v>
      </c>
      <c r="M192" s="23"/>
      <c r="N192" s="26"/>
      <c r="O192" s="26"/>
      <c r="P192" s="26"/>
      <c r="Q192" s="26"/>
      <c r="R192" s="26"/>
      <c r="S192" s="26"/>
      <c r="T192" s="26"/>
      <c r="U192" s="26"/>
      <c r="V192" s="26"/>
      <c r="W192" s="26"/>
      <c r="X192" s="26"/>
      <c r="Y192" s="26"/>
      <c r="Z192" s="26"/>
      <c r="AA192" s="26"/>
      <c r="AB192" s="26"/>
    </row>
    <row r="193">
      <c r="A193" s="21" t="s">
        <v>441</v>
      </c>
      <c r="B193" s="22" t="s">
        <v>441</v>
      </c>
      <c r="C193" s="23" t="str">
        <f>IFERROR(__xludf.DUMMYFUNCTION("GOOGLETRANSLATE(B193, ""en"", ""fr"")"),"Table de travail")</f>
        <v>Table de travail</v>
      </c>
      <c r="D193" s="23" t="str">
        <f>IFERROR(__xludf.DUMMYFUNCTION("GOOGLETRANSLATE(B193, ""en"", ""es"")"),"Banco de trabajo")</f>
        <v>Banco de trabajo</v>
      </c>
      <c r="E193" s="23" t="str">
        <f>IFERROR(__xludf.DUMMYFUNCTION("GOOGLETRANSLATE(B193, ""en"", ""ru"")"),"Workbench")</f>
        <v>Workbench</v>
      </c>
      <c r="F193" s="23" t="str">
        <f>IFERROR(__xludf.DUMMYFUNCTION("GOOGLETRANSLATE(B193, ""en"", ""tr"")"),"Çalışma tezgahı")</f>
        <v>Çalışma tezgahı</v>
      </c>
      <c r="G193" s="23" t="str">
        <f>IFERROR(__xludf.DUMMYFUNCTION("GOOGLETRANSLATE(B193, ""en"", ""pt"")"),"Workbench")</f>
        <v>Workbench</v>
      </c>
      <c r="H193" s="24" t="str">
        <f>IFERROR(__xludf.DUMMYFUNCTION("GOOGLETRANSLATE(B193, ""en"", ""de"")"),"Werkbank")</f>
        <v>Werkbank</v>
      </c>
      <c r="I193" s="23" t="str">
        <f>IFERROR(__xludf.DUMMYFUNCTION("GOOGLETRANSLATE(B193, ""en"", ""pl"")"),"stoł warsztatowy")</f>
        <v>stoł warsztatowy</v>
      </c>
      <c r="J193" s="25" t="str">
        <f>IFERROR(__xludf.DUMMYFUNCTION("GOOGLETRANSLATE(B193, ""en"", ""zh"")"),"工作台")</f>
        <v>工作台</v>
      </c>
      <c r="K193" s="25" t="str">
        <f>IFERROR(__xludf.DUMMYFUNCTION("GOOGLETRANSLATE(B193, ""en"", ""vi"")"),"Bàn làm việc")</f>
        <v>Bàn làm việc</v>
      </c>
      <c r="L193" s="23" t="str">
        <f>IFERROR(__xludf.DUMMYFUNCTION("GOOGLETRANSLATE(B193, ""en"", ""hr"")"),"Radna ploča")</f>
        <v>Radna ploča</v>
      </c>
      <c r="M193" s="23"/>
      <c r="N193" s="26"/>
      <c r="O193" s="26"/>
      <c r="P193" s="26"/>
      <c r="Q193" s="26"/>
      <c r="R193" s="26"/>
      <c r="S193" s="26"/>
      <c r="T193" s="26"/>
      <c r="U193" s="26"/>
      <c r="V193" s="26"/>
      <c r="W193" s="26"/>
      <c r="X193" s="26"/>
      <c r="Y193" s="26"/>
      <c r="Z193" s="26"/>
      <c r="AA193" s="26"/>
      <c r="AB193" s="26"/>
    </row>
    <row r="194">
      <c r="A194" s="21" t="s">
        <v>442</v>
      </c>
      <c r="B194" s="22" t="s">
        <v>442</v>
      </c>
      <c r="C194" s="23" t="str">
        <f>IFERROR(__xludf.DUMMYFUNCTION("GOOGLETRANSLATE(B194, ""en"", ""fr"")"),"Autel de gloire")</f>
        <v>Autel de gloire</v>
      </c>
      <c r="D194" s="23" t="str">
        <f>IFERROR(__xludf.DUMMYFUNCTION("GOOGLETRANSLATE(B194, ""en"", ""es"")"),"Altar de gloria")</f>
        <v>Altar de gloria</v>
      </c>
      <c r="E194" s="23" t="str">
        <f>IFERROR(__xludf.DUMMYFUNCTION("GOOGLETRANSLATE(B194, ""en"", ""ru"")"),"Слава Алтарь")</f>
        <v>Слава Алтарь</v>
      </c>
      <c r="F194" s="23" t="str">
        <f>IFERROR(__xludf.DUMMYFUNCTION("GOOGLETRANSLATE(B194, ""en"", ""tr"")"),"Glory Sunağı")</f>
        <v>Glory Sunağı</v>
      </c>
      <c r="G194" s="23" t="str">
        <f>IFERROR(__xludf.DUMMYFUNCTION("GOOGLETRANSLATE(B194, ""en"", ""pt"")"),"Altar de glória")</f>
        <v>Altar de glória</v>
      </c>
      <c r="H194" s="24" t="str">
        <f>IFERROR(__xludf.DUMMYFUNCTION("GOOGLETRANSLATE(B194, ""en"", ""de"")"),"Glory Altar")</f>
        <v>Glory Altar</v>
      </c>
      <c r="I194" s="23" t="str">
        <f>IFERROR(__xludf.DUMMYFUNCTION("GOOGLETRANSLATE(B194, ""en"", ""pl"")"),"Ołtarz chwały")</f>
        <v>Ołtarz chwały</v>
      </c>
      <c r="J194" s="25" t="str">
        <f>IFERROR(__xludf.DUMMYFUNCTION("GOOGLETRANSLATE(B194, ""en"", ""zh"")"),"荣耀祭坛")</f>
        <v>荣耀祭坛</v>
      </c>
      <c r="K194" s="25" t="str">
        <f>IFERROR(__xludf.DUMMYFUNCTION("GOOGLETRANSLATE(B194, ""en"", ""vi"")"),"Bàn thờ vinh quang")</f>
        <v>Bàn thờ vinh quang</v>
      </c>
      <c r="L194" s="23" t="str">
        <f>IFERROR(__xludf.DUMMYFUNCTION("GOOGLETRANSLATE(B194, ""en"", ""hr"")"),"Oltar slave")</f>
        <v>Oltar slave</v>
      </c>
      <c r="M194" s="23"/>
      <c r="N194" s="26"/>
      <c r="O194" s="26"/>
      <c r="P194" s="26"/>
      <c r="Q194" s="26"/>
      <c r="R194" s="26"/>
      <c r="S194" s="26"/>
      <c r="T194" s="26"/>
      <c r="U194" s="26"/>
      <c r="V194" s="26"/>
      <c r="W194" s="26"/>
      <c r="X194" s="26"/>
      <c r="Y194" s="26"/>
      <c r="Z194" s="26"/>
      <c r="AA194" s="26"/>
      <c r="AB194" s="26"/>
    </row>
    <row r="195">
      <c r="A195" s="21" t="s">
        <v>443</v>
      </c>
      <c r="B195" s="22" t="s">
        <v>444</v>
      </c>
      <c r="C195" s="23" t="str">
        <f>IFERROR(__xludf.DUMMYFUNCTION("GOOGLETRANSLATE(B195, ""en"", ""fr"")"),"Votre inventaire est plein.")</f>
        <v>Votre inventaire est plein.</v>
      </c>
      <c r="D195" s="23" t="str">
        <f>IFERROR(__xludf.DUMMYFUNCTION("GOOGLETRANSLATE(B195, ""en"", ""es"")"),"Tu inventario está lleno.")</f>
        <v>Tu inventario está lleno.</v>
      </c>
      <c r="E195" s="23" t="str">
        <f>IFERROR(__xludf.DUMMYFUNCTION("GOOGLETRANSLATE(B195, ""en"", ""ru"")"),"Ваш инвентарь заполнен.")</f>
        <v>Ваш инвентарь заполнен.</v>
      </c>
      <c r="F195" s="23" t="str">
        <f>IFERROR(__xludf.DUMMYFUNCTION("GOOGLETRANSLATE(B195, ""en"", ""tr"")"),"Envanterin dolu.")</f>
        <v>Envanterin dolu.</v>
      </c>
      <c r="G195" s="23" t="str">
        <f>IFERROR(__xludf.DUMMYFUNCTION("GOOGLETRANSLATE(B195, ""en"", ""pt"")"),"Seu inventário está cheio.")</f>
        <v>Seu inventário está cheio.</v>
      </c>
      <c r="H195" s="24" t="str">
        <f>IFERROR(__xludf.DUMMYFUNCTION("GOOGLETRANSLATE(B195, ""en"", ""de"")"),"Dein Inventar ist voll.")</f>
        <v>Dein Inventar ist voll.</v>
      </c>
      <c r="I195" s="23" t="str">
        <f>IFERROR(__xludf.DUMMYFUNCTION("GOOGLETRANSLATE(B195, ""en"", ""pl"")"),"Twój zapas jest pełny.")</f>
        <v>Twój zapas jest pełny.</v>
      </c>
      <c r="J195" s="25" t="str">
        <f>IFERROR(__xludf.DUMMYFUNCTION("GOOGLETRANSLATE(B195, ""en"", ""zh"")"),"您的库存已满。")</f>
        <v>您的库存已满。</v>
      </c>
      <c r="K195" s="25" t="str">
        <f>IFERROR(__xludf.DUMMYFUNCTION("GOOGLETRANSLATE(B195, ""en"", ""vi"")"),"Hàng tồn kho của bạn đã đầy đủ.")</f>
        <v>Hàng tồn kho của bạn đã đầy đủ.</v>
      </c>
      <c r="L195" s="23" t="str">
        <f>IFERROR(__xludf.DUMMYFUNCTION("GOOGLETRANSLATE(B195, ""en"", ""hr"")"),"Vaš je inventar pun.")</f>
        <v>Vaš je inventar pun.</v>
      </c>
      <c r="M195" s="23"/>
      <c r="N195" s="26"/>
      <c r="O195" s="26"/>
      <c r="P195" s="26"/>
      <c r="Q195" s="26"/>
      <c r="R195" s="26"/>
      <c r="S195" s="26"/>
      <c r="T195" s="26"/>
      <c r="U195" s="26"/>
      <c r="V195" s="26"/>
      <c r="W195" s="26"/>
      <c r="X195" s="26"/>
      <c r="Y195" s="26"/>
      <c r="Z195" s="26"/>
      <c r="AA195" s="26"/>
      <c r="AB195" s="26"/>
    </row>
    <row r="196">
      <c r="A196" s="21" t="s">
        <v>445</v>
      </c>
      <c r="B196" s="22" t="s">
        <v>446</v>
      </c>
      <c r="C196" s="23" t="str">
        <f>IFERROR(__xludf.DUMMYFUNCTION("GOOGLETRANSLATE(B196, ""en"", ""fr"")"),"Vous ne pouvez pas laisser tomber cet article ici.
Il y a quelque chose sur le chemin.")</f>
        <v>Vous ne pouvez pas laisser tomber cet article ici.
Il y a quelque chose sur le chemin.</v>
      </c>
      <c r="D196" s="23" t="str">
        <f>IFERROR(__xludf.DUMMYFUNCTION("GOOGLETRANSLATE(B196, ""en"", ""es"")"),"No puedes dejar ese artículo aquí.
Hay algo en el camino.")</f>
        <v>No puedes dejar ese artículo aquí.
Hay algo en el camino.</v>
      </c>
      <c r="E196" s="23" t="str">
        <f>IFERROR(__xludf.DUMMYFUNCTION("GOOGLETRANSLATE(B196, ""en"", ""ru"")"),"Вы не можете бросить этот предмет здесь.
Есть что -то на пути.")</f>
        <v>Вы не можете бросить этот предмет здесь.
Есть что -то на пути.</v>
      </c>
      <c r="F196" s="23" t="str">
        <f>IFERROR(__xludf.DUMMYFUNCTION("GOOGLETRANSLATE(B196, ""en"", ""tr"")"),"Bu öğeyi buraya bırakamazsınız.
Yolda bir şey var.")</f>
        <v>Bu öğeyi buraya bırakamazsınız.
Yolda bir şey var.</v>
      </c>
      <c r="G196" s="23" t="str">
        <f>IFERROR(__xludf.DUMMYFUNCTION("GOOGLETRANSLATE(B196, ""en"", ""pt"")"),"Você não pode soltar esse item aqui.
Há algo no caminho.")</f>
        <v>Você não pode soltar esse item aqui.
Há algo no caminho.</v>
      </c>
      <c r="H196" s="24" t="str">
        <f>IFERROR(__xludf.DUMMYFUNCTION("GOOGLETRANSLATE(B196, ""en"", ""de"")"),"Sie können diesen Artikel hier nicht fallen lassen.
Es ist etwas im Weg.")</f>
        <v>Sie können diesen Artikel hier nicht fallen lassen.
Es ist etwas im Weg.</v>
      </c>
      <c r="I196" s="23" t="str">
        <f>IFERROR(__xludf.DUMMYFUNCTION("GOOGLETRANSLATE(B196, ""en"", ""pl"")"),"Nie możesz upuścić tego przedmiotu tutaj.
Jest coś na drodze.")</f>
        <v>Nie możesz upuścić tego przedmiotu tutaj.
Jest coś na drodze.</v>
      </c>
      <c r="J196" s="25" t="str">
        <f>IFERROR(__xludf.DUMMYFUNCTION("GOOGLETRANSLATE(B196, ""en"", ""zh"")"),"您不能将该项目放在这里。
有一些东西。")</f>
        <v>您不能将该项目放在这里。
有一些东西。</v>
      </c>
      <c r="K196" s="25" t="str">
        <f>IFERROR(__xludf.DUMMYFUNCTION("GOOGLETRANSLATE(B196, ""en"", ""vi"")"),"Bạn không thể bỏ vật phẩm đó ở đây.
Có một cái gì đó trên con đường.")</f>
        <v>Bạn không thể bỏ vật phẩm đó ở đây.
Có một cái gì đó trên con đường.</v>
      </c>
      <c r="L196" s="23" t="str">
        <f>IFERROR(__xludf.DUMMYFUNCTION("GOOGLETRANSLATE(B196, ""en"", ""hr"")"),"Ovdje ne možete ispustiti taj predmet.
Nešto je na putu.")</f>
        <v>Ovdje ne možete ispustiti taj predmet.
Nešto je na putu.</v>
      </c>
      <c r="M196" s="23"/>
      <c r="N196" s="26"/>
      <c r="O196" s="26"/>
      <c r="P196" s="26"/>
      <c r="Q196" s="26"/>
      <c r="R196" s="26"/>
      <c r="S196" s="26"/>
      <c r="T196" s="26"/>
      <c r="U196" s="26"/>
      <c r="V196" s="26"/>
      <c r="W196" s="26"/>
      <c r="X196" s="26"/>
      <c r="Y196" s="26"/>
      <c r="Z196" s="26"/>
      <c r="AA196" s="26"/>
      <c r="AB196" s="26"/>
    </row>
    <row r="197">
      <c r="A197" s="21" t="s">
        <v>447</v>
      </c>
      <c r="B197" s="22" t="s">
        <v>447</v>
      </c>
      <c r="C197" s="23"/>
      <c r="D197" s="23"/>
      <c r="E197" s="30"/>
      <c r="F197" s="23"/>
      <c r="G197" s="30"/>
      <c r="H197" s="31"/>
      <c r="I197" s="30"/>
      <c r="J197" s="32"/>
      <c r="K197" s="32"/>
      <c r="L197" s="23"/>
      <c r="M197" s="23"/>
      <c r="N197" s="26"/>
      <c r="O197" s="26"/>
      <c r="P197" s="26"/>
      <c r="Q197" s="26"/>
      <c r="R197" s="26"/>
      <c r="S197" s="26"/>
      <c r="T197" s="26"/>
      <c r="U197" s="26"/>
      <c r="V197" s="26"/>
      <c r="W197" s="26"/>
      <c r="X197" s="26"/>
      <c r="Y197" s="26"/>
      <c r="Z197" s="26"/>
      <c r="AA197" s="26"/>
      <c r="AB197" s="26"/>
    </row>
    <row r="198">
      <c r="A198" s="21" t="s">
        <v>448</v>
      </c>
      <c r="B198" s="22" t="s">
        <v>449</v>
      </c>
      <c r="C198" s="30"/>
      <c r="D198" s="30"/>
      <c r="E198" s="30"/>
      <c r="F198" s="30"/>
      <c r="G198" s="30"/>
      <c r="H198" s="31"/>
      <c r="I198" s="30"/>
      <c r="J198" s="32"/>
      <c r="K198" s="32"/>
      <c r="L198" s="23"/>
      <c r="M198" s="23"/>
      <c r="N198" s="26"/>
      <c r="O198" s="26"/>
      <c r="P198" s="26"/>
      <c r="Q198" s="26"/>
      <c r="R198" s="26"/>
      <c r="S198" s="26"/>
      <c r="T198" s="26"/>
      <c r="U198" s="26"/>
      <c r="V198" s="26"/>
      <c r="W198" s="26"/>
      <c r="X198" s="26"/>
      <c r="Y198" s="26"/>
      <c r="Z198" s="26"/>
      <c r="AA198" s="26"/>
      <c r="AB198" s="26"/>
    </row>
    <row r="199">
      <c r="A199" s="21" t="s">
        <v>450</v>
      </c>
      <c r="B199" s="22" t="s">
        <v>451</v>
      </c>
      <c r="C199" s="33"/>
      <c r="D199" s="30"/>
      <c r="E199" s="30"/>
      <c r="F199" s="30"/>
      <c r="G199" s="30"/>
      <c r="H199" s="31"/>
      <c r="I199" s="30"/>
      <c r="J199" s="32"/>
      <c r="K199" s="32"/>
      <c r="L199" s="23"/>
      <c r="M199" s="23"/>
      <c r="N199" s="26"/>
      <c r="O199" s="26"/>
      <c r="P199" s="26"/>
      <c r="Q199" s="26"/>
      <c r="R199" s="26"/>
      <c r="S199" s="26"/>
      <c r="T199" s="26"/>
      <c r="U199" s="26"/>
      <c r="V199" s="26"/>
      <c r="W199" s="26"/>
      <c r="X199" s="26"/>
      <c r="Y199" s="26"/>
      <c r="Z199" s="26"/>
      <c r="AA199" s="26"/>
      <c r="AB199" s="26"/>
    </row>
    <row r="200">
      <c r="A200" s="34"/>
      <c r="B200" s="35"/>
      <c r="C200" s="30"/>
      <c r="D200" s="30"/>
      <c r="E200" s="30"/>
      <c r="F200" s="30"/>
      <c r="G200" s="30"/>
      <c r="H200" s="31"/>
      <c r="I200" s="30"/>
      <c r="J200" s="32"/>
      <c r="K200" s="32"/>
      <c r="L200" s="23"/>
      <c r="M200" s="23"/>
      <c r="N200" s="26"/>
      <c r="O200" s="26"/>
      <c r="P200" s="26"/>
      <c r="Q200" s="26"/>
      <c r="R200" s="26"/>
      <c r="S200" s="26"/>
      <c r="T200" s="26"/>
      <c r="U200" s="26"/>
      <c r="V200" s="26"/>
      <c r="W200" s="26"/>
      <c r="X200" s="26"/>
      <c r="Y200" s="26"/>
      <c r="Z200" s="26"/>
      <c r="AA200" s="26"/>
      <c r="AB200" s="26"/>
    </row>
    <row r="201">
      <c r="A201" s="34"/>
      <c r="B201" s="35"/>
      <c r="C201" s="30"/>
      <c r="D201" s="30"/>
      <c r="E201" s="30"/>
      <c r="F201" s="30"/>
      <c r="G201" s="30"/>
      <c r="H201" s="31"/>
      <c r="I201" s="30"/>
      <c r="J201" s="32"/>
      <c r="K201" s="32"/>
      <c r="L201" s="23"/>
      <c r="M201" s="23"/>
      <c r="N201" s="26"/>
      <c r="O201" s="26"/>
      <c r="P201" s="26"/>
      <c r="Q201" s="26"/>
      <c r="R201" s="26"/>
      <c r="S201" s="26"/>
      <c r="T201" s="26"/>
      <c r="U201" s="26"/>
      <c r="V201" s="26"/>
      <c r="W201" s="26"/>
      <c r="X201" s="26"/>
      <c r="Y201" s="26"/>
      <c r="Z201" s="26"/>
      <c r="AA201" s="26"/>
      <c r="AB201" s="26"/>
    </row>
    <row r="202">
      <c r="A202" s="34"/>
      <c r="B202" s="35"/>
      <c r="C202" s="30"/>
      <c r="D202" s="30"/>
      <c r="E202" s="30"/>
      <c r="F202" s="30"/>
      <c r="G202" s="30"/>
      <c r="H202" s="31"/>
      <c r="I202" s="30"/>
      <c r="J202" s="32"/>
      <c r="K202" s="32"/>
      <c r="L202" s="23"/>
      <c r="M202" s="23"/>
      <c r="N202" s="26"/>
      <c r="O202" s="26"/>
      <c r="P202" s="26"/>
      <c r="Q202" s="26"/>
      <c r="R202" s="26"/>
      <c r="S202" s="26"/>
      <c r="T202" s="26"/>
      <c r="U202" s="26"/>
      <c r="V202" s="26"/>
      <c r="W202" s="26"/>
      <c r="X202" s="26"/>
      <c r="Y202" s="26"/>
      <c r="Z202" s="26"/>
      <c r="AA202" s="26"/>
      <c r="AB202" s="26"/>
    </row>
    <row r="203">
      <c r="A203" s="34"/>
      <c r="B203" s="35"/>
      <c r="C203" s="30"/>
      <c r="D203" s="30"/>
      <c r="E203" s="30"/>
      <c r="F203" s="30"/>
      <c r="G203" s="30"/>
      <c r="H203" s="31"/>
      <c r="I203" s="30"/>
      <c r="J203" s="32"/>
      <c r="K203" s="32"/>
      <c r="L203" s="23"/>
      <c r="M203" s="23"/>
      <c r="N203" s="26"/>
      <c r="O203" s="26"/>
      <c r="P203" s="26"/>
      <c r="Q203" s="26"/>
      <c r="R203" s="26"/>
      <c r="S203" s="26"/>
      <c r="T203" s="26"/>
      <c r="U203" s="26"/>
      <c r="V203" s="26"/>
      <c r="W203" s="26"/>
      <c r="X203" s="26"/>
      <c r="Y203" s="26"/>
      <c r="Z203" s="26"/>
      <c r="AA203" s="26"/>
      <c r="AB203" s="26"/>
    </row>
    <row r="204">
      <c r="A204" s="34"/>
      <c r="B204" s="35"/>
      <c r="C204" s="30"/>
      <c r="D204" s="30"/>
      <c r="E204" s="30"/>
      <c r="F204" s="30"/>
      <c r="G204" s="30"/>
      <c r="H204" s="31"/>
      <c r="I204" s="30"/>
      <c r="J204" s="32"/>
      <c r="K204" s="32"/>
      <c r="L204" s="23"/>
      <c r="M204" s="23"/>
      <c r="N204" s="26"/>
      <c r="O204" s="26"/>
      <c r="P204" s="26"/>
      <c r="Q204" s="26"/>
      <c r="R204" s="26"/>
      <c r="S204" s="26"/>
      <c r="T204" s="26"/>
      <c r="U204" s="26"/>
      <c r="V204" s="26"/>
      <c r="W204" s="26"/>
      <c r="X204" s="26"/>
      <c r="Y204" s="26"/>
      <c r="Z204" s="26"/>
      <c r="AA204" s="26"/>
      <c r="AB204" s="26"/>
    </row>
    <row r="205">
      <c r="A205" s="34"/>
      <c r="B205" s="35"/>
      <c r="C205" s="30"/>
      <c r="D205" s="30"/>
      <c r="E205" s="30"/>
      <c r="F205" s="30"/>
      <c r="G205" s="30"/>
      <c r="H205" s="31"/>
      <c r="I205" s="30"/>
      <c r="J205" s="32"/>
      <c r="K205" s="32"/>
      <c r="L205" s="23"/>
      <c r="M205" s="23"/>
      <c r="N205" s="26"/>
      <c r="O205" s="26"/>
      <c r="P205" s="26"/>
      <c r="Q205" s="26"/>
      <c r="R205" s="26"/>
      <c r="S205" s="26"/>
      <c r="T205" s="26"/>
      <c r="U205" s="26"/>
      <c r="V205" s="26"/>
      <c r="W205" s="26"/>
      <c r="X205" s="26"/>
      <c r="Y205" s="26"/>
      <c r="Z205" s="26"/>
      <c r="AA205" s="26"/>
      <c r="AB205" s="26"/>
    </row>
    <row r="206">
      <c r="A206" s="34"/>
      <c r="B206" s="35"/>
      <c r="C206" s="30"/>
      <c r="D206" s="30"/>
      <c r="E206" s="30"/>
      <c r="F206" s="30"/>
      <c r="G206" s="30"/>
      <c r="H206" s="31"/>
      <c r="I206" s="30"/>
      <c r="J206" s="32"/>
      <c r="K206" s="32"/>
      <c r="L206" s="23"/>
      <c r="M206" s="23"/>
      <c r="N206" s="26"/>
      <c r="O206" s="26"/>
      <c r="P206" s="26"/>
      <c r="Q206" s="26"/>
      <c r="R206" s="26"/>
      <c r="S206" s="26"/>
      <c r="T206" s="26"/>
      <c r="U206" s="26"/>
      <c r="V206" s="26"/>
      <c r="W206" s="26"/>
      <c r="X206" s="26"/>
      <c r="Y206" s="26"/>
      <c r="Z206" s="26"/>
      <c r="AA206" s="26"/>
      <c r="AB206" s="26"/>
    </row>
    <row r="207">
      <c r="A207" s="34"/>
      <c r="B207" s="35"/>
      <c r="C207" s="30"/>
      <c r="D207" s="30"/>
      <c r="E207" s="30"/>
      <c r="F207" s="30"/>
      <c r="G207" s="30"/>
      <c r="H207" s="31"/>
      <c r="I207" s="30"/>
      <c r="J207" s="32"/>
      <c r="K207" s="32"/>
      <c r="L207" s="23"/>
      <c r="M207" s="23"/>
      <c r="N207" s="26"/>
      <c r="O207" s="26"/>
      <c r="P207" s="26"/>
      <c r="Q207" s="26"/>
      <c r="R207" s="26"/>
      <c r="S207" s="26"/>
      <c r="T207" s="26"/>
      <c r="U207" s="26"/>
      <c r="V207" s="26"/>
      <c r="W207" s="26"/>
      <c r="X207" s="26"/>
      <c r="Y207" s="26"/>
      <c r="Z207" s="26"/>
      <c r="AA207" s="26"/>
      <c r="AB207" s="26"/>
    </row>
    <row r="208">
      <c r="A208" s="34"/>
      <c r="B208" s="35"/>
      <c r="C208" s="30"/>
      <c r="D208" s="30"/>
      <c r="E208" s="30"/>
      <c r="F208" s="30"/>
      <c r="G208" s="30"/>
      <c r="H208" s="31"/>
      <c r="I208" s="30"/>
      <c r="J208" s="32"/>
      <c r="K208" s="32"/>
      <c r="L208" s="23"/>
      <c r="M208" s="23"/>
      <c r="N208" s="26"/>
      <c r="O208" s="26"/>
      <c r="P208" s="26"/>
      <c r="Q208" s="26"/>
      <c r="R208" s="26"/>
      <c r="S208" s="26"/>
      <c r="T208" s="26"/>
      <c r="U208" s="26"/>
      <c r="V208" s="26"/>
      <c r="W208" s="26"/>
      <c r="X208" s="26"/>
      <c r="Y208" s="26"/>
      <c r="Z208" s="26"/>
      <c r="AA208" s="26"/>
      <c r="AB208" s="26"/>
    </row>
    <row r="209">
      <c r="A209" s="34"/>
      <c r="B209" s="35"/>
      <c r="C209" s="30"/>
      <c r="D209" s="30"/>
      <c r="E209" s="30"/>
      <c r="F209" s="30"/>
      <c r="G209" s="30"/>
      <c r="H209" s="31"/>
      <c r="I209" s="30"/>
      <c r="J209" s="32"/>
      <c r="K209" s="32"/>
      <c r="L209" s="23"/>
      <c r="M209" s="23"/>
      <c r="N209" s="26"/>
      <c r="O209" s="26"/>
      <c r="P209" s="26"/>
      <c r="Q209" s="26"/>
      <c r="R209" s="26"/>
      <c r="S209" s="26"/>
      <c r="T209" s="26"/>
      <c r="U209" s="26"/>
      <c r="V209" s="26"/>
      <c r="W209" s="26"/>
      <c r="X209" s="26"/>
      <c r="Y209" s="26"/>
      <c r="Z209" s="26"/>
      <c r="AA209" s="26"/>
      <c r="AB209" s="26"/>
    </row>
    <row r="210">
      <c r="A210" s="34"/>
      <c r="B210" s="35"/>
      <c r="C210" s="30"/>
      <c r="D210" s="30"/>
      <c r="E210" s="30"/>
      <c r="F210" s="30"/>
      <c r="G210" s="30"/>
      <c r="H210" s="31"/>
      <c r="I210" s="30"/>
      <c r="J210" s="32"/>
      <c r="K210" s="32"/>
      <c r="L210" s="23"/>
      <c r="M210" s="23"/>
      <c r="N210" s="26"/>
      <c r="O210" s="26"/>
      <c r="P210" s="26"/>
      <c r="Q210" s="26"/>
      <c r="R210" s="26"/>
      <c r="S210" s="26"/>
      <c r="T210" s="26"/>
      <c r="U210" s="26"/>
      <c r="V210" s="26"/>
      <c r="W210" s="26"/>
      <c r="X210" s="26"/>
      <c r="Y210" s="26"/>
      <c r="Z210" s="26"/>
      <c r="AA210" s="26"/>
      <c r="AB210" s="26"/>
    </row>
    <row r="211">
      <c r="A211" s="34"/>
      <c r="B211" s="35"/>
      <c r="C211" s="30"/>
      <c r="D211" s="30"/>
      <c r="E211" s="30"/>
      <c r="F211" s="30"/>
      <c r="G211" s="30"/>
      <c r="H211" s="31"/>
      <c r="I211" s="30"/>
      <c r="J211" s="32"/>
      <c r="K211" s="32"/>
      <c r="L211" s="23"/>
      <c r="M211" s="23"/>
      <c r="N211" s="26"/>
      <c r="O211" s="26"/>
      <c r="P211" s="26"/>
      <c r="Q211" s="26"/>
      <c r="R211" s="26"/>
      <c r="S211" s="26"/>
      <c r="T211" s="26"/>
      <c r="U211" s="26"/>
      <c r="V211" s="26"/>
      <c r="W211" s="26"/>
      <c r="X211" s="26"/>
      <c r="Y211" s="26"/>
      <c r="Z211" s="26"/>
      <c r="AA211" s="26"/>
      <c r="AB211" s="26"/>
    </row>
    <row r="212">
      <c r="A212" s="34"/>
      <c r="B212" s="35"/>
      <c r="C212" s="30"/>
      <c r="D212" s="30"/>
      <c r="E212" s="30"/>
      <c r="F212" s="30"/>
      <c r="G212" s="30"/>
      <c r="H212" s="31"/>
      <c r="I212" s="30"/>
      <c r="J212" s="32"/>
      <c r="K212" s="32"/>
      <c r="L212" s="23"/>
      <c r="M212" s="23"/>
      <c r="N212" s="26"/>
      <c r="O212" s="26"/>
      <c r="P212" s="26"/>
      <c r="Q212" s="26"/>
      <c r="R212" s="26"/>
      <c r="S212" s="26"/>
      <c r="T212" s="26"/>
      <c r="U212" s="26"/>
      <c r="V212" s="26"/>
      <c r="W212" s="26"/>
      <c r="X212" s="26"/>
      <c r="Y212" s="26"/>
      <c r="Z212" s="26"/>
      <c r="AA212" s="26"/>
      <c r="AB212" s="26"/>
    </row>
    <row r="213">
      <c r="A213" s="34"/>
      <c r="B213" s="35"/>
      <c r="C213" s="30"/>
      <c r="D213" s="30"/>
      <c r="E213" s="30"/>
      <c r="F213" s="30"/>
      <c r="G213" s="30"/>
      <c r="H213" s="31"/>
      <c r="I213" s="30"/>
      <c r="J213" s="32"/>
      <c r="K213" s="32"/>
      <c r="L213" s="23"/>
      <c r="M213" s="23"/>
      <c r="N213" s="26"/>
      <c r="O213" s="26"/>
      <c r="P213" s="26"/>
      <c r="Q213" s="26"/>
      <c r="R213" s="26"/>
      <c r="S213" s="26"/>
      <c r="T213" s="26"/>
      <c r="U213" s="26"/>
      <c r="V213" s="26"/>
      <c r="W213" s="26"/>
      <c r="X213" s="26"/>
      <c r="Y213" s="26"/>
      <c r="Z213" s="26"/>
      <c r="AA213" s="26"/>
      <c r="AB213" s="26"/>
    </row>
    <row r="214">
      <c r="A214" s="34"/>
      <c r="B214" s="35"/>
      <c r="C214" s="30"/>
      <c r="D214" s="30"/>
      <c r="E214" s="30"/>
      <c r="F214" s="30"/>
      <c r="G214" s="30"/>
      <c r="H214" s="31"/>
      <c r="I214" s="30"/>
      <c r="J214" s="32"/>
      <c r="K214" s="32"/>
      <c r="L214" s="23"/>
      <c r="M214" s="23"/>
      <c r="N214" s="26"/>
      <c r="O214" s="26"/>
      <c r="P214" s="26"/>
      <c r="Q214" s="26"/>
      <c r="R214" s="26"/>
      <c r="S214" s="26"/>
      <c r="T214" s="26"/>
      <c r="U214" s="26"/>
      <c r="V214" s="26"/>
      <c r="W214" s="26"/>
      <c r="X214" s="26"/>
      <c r="Y214" s="26"/>
      <c r="Z214" s="26"/>
      <c r="AA214" s="26"/>
      <c r="AB214" s="26"/>
    </row>
    <row r="215">
      <c r="A215" s="34"/>
      <c r="B215" s="35"/>
      <c r="C215" s="30"/>
      <c r="D215" s="30"/>
      <c r="E215" s="30"/>
      <c r="F215" s="30"/>
      <c r="G215" s="30"/>
      <c r="H215" s="31"/>
      <c r="I215" s="30"/>
      <c r="J215" s="32"/>
      <c r="K215" s="32"/>
      <c r="L215" s="23"/>
      <c r="M215" s="23"/>
      <c r="N215" s="26"/>
      <c r="O215" s="26"/>
      <c r="P215" s="26"/>
      <c r="Q215" s="26"/>
      <c r="R215" s="26"/>
      <c r="S215" s="26"/>
      <c r="T215" s="26"/>
      <c r="U215" s="26"/>
      <c r="V215" s="26"/>
      <c r="W215" s="26"/>
      <c r="X215" s="26"/>
      <c r="Y215" s="26"/>
      <c r="Z215" s="26"/>
      <c r="AA215" s="26"/>
      <c r="AB215" s="26"/>
    </row>
    <row r="216">
      <c r="A216" s="34"/>
      <c r="B216" s="35"/>
      <c r="C216" s="30"/>
      <c r="D216" s="30"/>
      <c r="E216" s="30"/>
      <c r="F216" s="30"/>
      <c r="G216" s="30"/>
      <c r="H216" s="31"/>
      <c r="I216" s="30"/>
      <c r="J216" s="32"/>
      <c r="K216" s="32"/>
      <c r="L216" s="23"/>
      <c r="M216" s="23"/>
      <c r="N216" s="26"/>
      <c r="O216" s="26"/>
      <c r="P216" s="26"/>
      <c r="Q216" s="26"/>
      <c r="R216" s="26"/>
      <c r="S216" s="26"/>
      <c r="T216" s="26"/>
      <c r="U216" s="26"/>
      <c r="V216" s="26"/>
      <c r="W216" s="26"/>
      <c r="X216" s="26"/>
      <c r="Y216" s="26"/>
      <c r="Z216" s="26"/>
      <c r="AA216" s="26"/>
      <c r="AB216" s="26"/>
    </row>
    <row r="217">
      <c r="A217" s="34"/>
      <c r="B217" s="35"/>
      <c r="C217" s="30"/>
      <c r="D217" s="30"/>
      <c r="E217" s="30"/>
      <c r="F217" s="30"/>
      <c r="G217" s="30"/>
      <c r="H217" s="31"/>
      <c r="I217" s="30"/>
      <c r="J217" s="32"/>
      <c r="K217" s="32"/>
      <c r="L217" s="23"/>
      <c r="M217" s="23"/>
      <c r="N217" s="26"/>
      <c r="O217" s="26"/>
      <c r="P217" s="26"/>
      <c r="Q217" s="26"/>
      <c r="R217" s="26"/>
      <c r="S217" s="26"/>
      <c r="T217" s="26"/>
      <c r="U217" s="26"/>
      <c r="V217" s="26"/>
      <c r="W217" s="26"/>
      <c r="X217" s="26"/>
      <c r="Y217" s="26"/>
      <c r="Z217" s="26"/>
      <c r="AA217" s="26"/>
      <c r="AB217" s="26"/>
    </row>
    <row r="218">
      <c r="A218" s="34"/>
      <c r="B218" s="35"/>
      <c r="C218" s="30"/>
      <c r="D218" s="30"/>
      <c r="E218" s="30"/>
      <c r="F218" s="30"/>
      <c r="G218" s="30"/>
      <c r="H218" s="31"/>
      <c r="I218" s="30"/>
      <c r="J218" s="32"/>
      <c r="K218" s="32"/>
      <c r="L218" s="23"/>
      <c r="M218" s="23"/>
      <c r="N218" s="26"/>
      <c r="O218" s="26"/>
      <c r="P218" s="26"/>
      <c r="Q218" s="26"/>
      <c r="R218" s="26"/>
      <c r="S218" s="26"/>
      <c r="T218" s="26"/>
      <c r="U218" s="26"/>
      <c r="V218" s="26"/>
      <c r="W218" s="26"/>
      <c r="X218" s="26"/>
      <c r="Y218" s="26"/>
      <c r="Z218" s="26"/>
      <c r="AA218" s="26"/>
      <c r="AB218" s="26"/>
    </row>
    <row r="219">
      <c r="A219" s="34"/>
      <c r="B219" s="35"/>
      <c r="C219" s="30"/>
      <c r="D219" s="30"/>
      <c r="E219" s="30"/>
      <c r="F219" s="30"/>
      <c r="G219" s="30"/>
      <c r="H219" s="31"/>
      <c r="I219" s="30"/>
      <c r="J219" s="32"/>
      <c r="K219" s="32"/>
      <c r="L219" s="23"/>
      <c r="M219" s="23"/>
      <c r="N219" s="26"/>
      <c r="O219" s="26"/>
      <c r="P219" s="26"/>
      <c r="Q219" s="26"/>
      <c r="R219" s="26"/>
      <c r="S219" s="26"/>
      <c r="T219" s="26"/>
      <c r="U219" s="26"/>
      <c r="V219" s="26"/>
      <c r="W219" s="26"/>
      <c r="X219" s="26"/>
      <c r="Y219" s="26"/>
      <c r="Z219" s="26"/>
      <c r="AA219" s="26"/>
      <c r="AB219" s="26"/>
    </row>
    <row r="220">
      <c r="A220" s="34"/>
      <c r="B220" s="35"/>
      <c r="C220" s="30"/>
      <c r="D220" s="30"/>
      <c r="E220" s="30"/>
      <c r="F220" s="30"/>
      <c r="G220" s="30"/>
      <c r="H220" s="31"/>
      <c r="I220" s="30"/>
      <c r="J220" s="32"/>
      <c r="K220" s="32"/>
      <c r="L220" s="23"/>
      <c r="M220" s="23"/>
      <c r="N220" s="26"/>
      <c r="O220" s="26"/>
      <c r="P220" s="26"/>
      <c r="Q220" s="26"/>
      <c r="R220" s="26"/>
      <c r="S220" s="26"/>
      <c r="T220" s="26"/>
      <c r="U220" s="26"/>
      <c r="V220" s="26"/>
      <c r="W220" s="26"/>
      <c r="X220" s="26"/>
      <c r="Y220" s="26"/>
      <c r="Z220" s="26"/>
      <c r="AA220" s="26"/>
      <c r="AB220" s="26"/>
    </row>
    <row r="221">
      <c r="A221" s="34"/>
      <c r="B221" s="35"/>
      <c r="C221" s="30"/>
      <c r="D221" s="30"/>
      <c r="E221" s="30"/>
      <c r="F221" s="30"/>
      <c r="G221" s="30"/>
      <c r="H221" s="31"/>
      <c r="I221" s="30"/>
      <c r="J221" s="32"/>
      <c r="K221" s="32"/>
      <c r="L221" s="23"/>
      <c r="M221" s="23"/>
      <c r="N221" s="26"/>
      <c r="O221" s="26"/>
      <c r="P221" s="26"/>
      <c r="Q221" s="26"/>
      <c r="R221" s="26"/>
      <c r="S221" s="26"/>
      <c r="T221" s="26"/>
      <c r="U221" s="26"/>
      <c r="V221" s="26"/>
      <c r="W221" s="26"/>
      <c r="X221" s="26"/>
      <c r="Y221" s="26"/>
      <c r="Z221" s="26"/>
      <c r="AA221" s="26"/>
      <c r="AB221" s="26"/>
    </row>
    <row r="222">
      <c r="A222" s="34"/>
      <c r="B222" s="35"/>
      <c r="C222" s="30"/>
      <c r="D222" s="30"/>
      <c r="E222" s="30"/>
      <c r="F222" s="30"/>
      <c r="G222" s="30"/>
      <c r="H222" s="31"/>
      <c r="I222" s="30"/>
      <c r="J222" s="32"/>
      <c r="K222" s="32"/>
      <c r="L222" s="23"/>
      <c r="M222" s="23"/>
      <c r="N222" s="26"/>
      <c r="O222" s="26"/>
      <c r="P222" s="26"/>
      <c r="Q222" s="26"/>
      <c r="R222" s="26"/>
      <c r="S222" s="26"/>
      <c r="T222" s="26"/>
      <c r="U222" s="26"/>
      <c r="V222" s="26"/>
      <c r="W222" s="26"/>
      <c r="X222" s="26"/>
      <c r="Y222" s="26"/>
      <c r="Z222" s="26"/>
      <c r="AA222" s="26"/>
      <c r="AB222" s="26"/>
    </row>
    <row r="223">
      <c r="A223" s="34"/>
      <c r="B223" s="35"/>
      <c r="C223" s="30"/>
      <c r="D223" s="30"/>
      <c r="E223" s="30"/>
      <c r="F223" s="30"/>
      <c r="G223" s="30"/>
      <c r="H223" s="31"/>
      <c r="I223" s="30"/>
      <c r="J223" s="32"/>
      <c r="K223" s="32"/>
      <c r="L223" s="23"/>
      <c r="M223" s="23"/>
      <c r="N223" s="26"/>
      <c r="O223" s="26"/>
      <c r="P223" s="26"/>
      <c r="Q223" s="26"/>
      <c r="R223" s="26"/>
      <c r="S223" s="26"/>
      <c r="T223" s="26"/>
      <c r="U223" s="26"/>
      <c r="V223" s="26"/>
      <c r="W223" s="26"/>
      <c r="X223" s="26"/>
      <c r="Y223" s="26"/>
      <c r="Z223" s="26"/>
      <c r="AA223" s="26"/>
      <c r="AB223" s="26"/>
    </row>
    <row r="224">
      <c r="A224" s="34"/>
      <c r="B224" s="35"/>
      <c r="C224" s="30"/>
      <c r="D224" s="30"/>
      <c r="E224" s="30"/>
      <c r="F224" s="30"/>
      <c r="G224" s="30"/>
      <c r="H224" s="31"/>
      <c r="I224" s="30"/>
      <c r="J224" s="32"/>
      <c r="K224" s="32"/>
      <c r="L224" s="23"/>
      <c r="M224" s="23"/>
      <c r="N224" s="26"/>
      <c r="O224" s="26"/>
      <c r="P224" s="26"/>
      <c r="Q224" s="26"/>
      <c r="R224" s="26"/>
      <c r="S224" s="26"/>
      <c r="T224" s="26"/>
      <c r="U224" s="26"/>
      <c r="V224" s="26"/>
      <c r="W224" s="26"/>
      <c r="X224" s="26"/>
      <c r="Y224" s="26"/>
      <c r="Z224" s="26"/>
      <c r="AA224" s="26"/>
      <c r="AB224" s="26"/>
    </row>
    <row r="225">
      <c r="A225" s="34"/>
      <c r="B225" s="35"/>
      <c r="C225" s="30"/>
      <c r="D225" s="30"/>
      <c r="E225" s="30"/>
      <c r="F225" s="30"/>
      <c r="G225" s="30"/>
      <c r="H225" s="31"/>
      <c r="I225" s="30"/>
      <c r="J225" s="32"/>
      <c r="K225" s="32"/>
      <c r="L225" s="23"/>
      <c r="M225" s="23"/>
      <c r="N225" s="26"/>
      <c r="O225" s="26"/>
      <c r="P225" s="26"/>
      <c r="Q225" s="26"/>
      <c r="R225" s="26"/>
      <c r="S225" s="26"/>
      <c r="T225" s="26"/>
      <c r="U225" s="26"/>
      <c r="V225" s="26"/>
      <c r="W225" s="26"/>
      <c r="X225" s="26"/>
      <c r="Y225" s="26"/>
      <c r="Z225" s="26"/>
      <c r="AA225" s="26"/>
      <c r="AB225" s="26"/>
    </row>
    <row r="226">
      <c r="A226" s="34"/>
      <c r="B226" s="35"/>
      <c r="C226" s="30"/>
      <c r="D226" s="30"/>
      <c r="E226" s="30"/>
      <c r="F226" s="30"/>
      <c r="G226" s="30"/>
      <c r="H226" s="31"/>
      <c r="I226" s="30"/>
      <c r="J226" s="32"/>
      <c r="K226" s="32"/>
      <c r="L226" s="23"/>
      <c r="M226" s="23"/>
      <c r="N226" s="26"/>
      <c r="O226" s="26"/>
      <c r="P226" s="26"/>
      <c r="Q226" s="26"/>
      <c r="R226" s="26"/>
      <c r="S226" s="26"/>
      <c r="T226" s="26"/>
      <c r="U226" s="26"/>
      <c r="V226" s="26"/>
      <c r="W226" s="26"/>
      <c r="X226" s="26"/>
      <c r="Y226" s="26"/>
      <c r="Z226" s="26"/>
      <c r="AA226" s="26"/>
      <c r="AB226" s="26"/>
    </row>
    <row r="227">
      <c r="A227" s="34"/>
      <c r="B227" s="35"/>
      <c r="C227" s="30"/>
      <c r="D227" s="30"/>
      <c r="E227" s="30"/>
      <c r="F227" s="30"/>
      <c r="G227" s="30"/>
      <c r="H227" s="31"/>
      <c r="I227" s="30"/>
      <c r="J227" s="32"/>
      <c r="K227" s="32"/>
      <c r="L227" s="23"/>
      <c r="M227" s="23"/>
      <c r="N227" s="26"/>
      <c r="O227" s="26"/>
      <c r="P227" s="26"/>
      <c r="Q227" s="26"/>
      <c r="R227" s="26"/>
      <c r="S227" s="26"/>
      <c r="T227" s="26"/>
      <c r="U227" s="26"/>
      <c r="V227" s="26"/>
      <c r="W227" s="26"/>
      <c r="X227" s="26"/>
      <c r="Y227" s="26"/>
      <c r="Z227" s="26"/>
      <c r="AA227" s="26"/>
      <c r="AB227" s="26"/>
    </row>
    <row r="228">
      <c r="A228" s="34"/>
      <c r="B228" s="35"/>
      <c r="C228" s="30"/>
      <c r="D228" s="30"/>
      <c r="E228" s="30"/>
      <c r="F228" s="30"/>
      <c r="G228" s="30"/>
      <c r="H228" s="31"/>
      <c r="I228" s="30"/>
      <c r="J228" s="32"/>
      <c r="K228" s="32"/>
      <c r="L228" s="23"/>
      <c r="M228" s="23"/>
      <c r="N228" s="26"/>
      <c r="O228" s="26"/>
      <c r="P228" s="26"/>
      <c r="Q228" s="26"/>
      <c r="R228" s="26"/>
      <c r="S228" s="26"/>
      <c r="T228" s="26"/>
      <c r="U228" s="26"/>
      <c r="V228" s="26"/>
      <c r="W228" s="26"/>
      <c r="X228" s="26"/>
      <c r="Y228" s="26"/>
      <c r="Z228" s="26"/>
      <c r="AA228" s="26"/>
      <c r="AB228" s="26"/>
    </row>
    <row r="229">
      <c r="A229" s="34"/>
      <c r="B229" s="35"/>
      <c r="C229" s="30"/>
      <c r="D229" s="30"/>
      <c r="E229" s="30"/>
      <c r="F229" s="30"/>
      <c r="G229" s="30"/>
      <c r="H229" s="31"/>
      <c r="I229" s="30"/>
      <c r="J229" s="32"/>
      <c r="K229" s="32"/>
      <c r="L229" s="23"/>
      <c r="M229" s="23"/>
      <c r="N229" s="26"/>
      <c r="O229" s="26"/>
      <c r="P229" s="26"/>
      <c r="Q229" s="26"/>
      <c r="R229" s="26"/>
      <c r="S229" s="26"/>
      <c r="T229" s="26"/>
      <c r="U229" s="26"/>
      <c r="V229" s="26"/>
      <c r="W229" s="26"/>
      <c r="X229" s="26"/>
      <c r="Y229" s="26"/>
      <c r="Z229" s="26"/>
      <c r="AA229" s="26"/>
      <c r="AB229" s="26"/>
    </row>
    <row r="230">
      <c r="A230" s="34"/>
      <c r="B230" s="35"/>
      <c r="C230" s="30"/>
      <c r="D230" s="30"/>
      <c r="E230" s="30"/>
      <c r="F230" s="30"/>
      <c r="G230" s="30"/>
      <c r="H230" s="31"/>
      <c r="I230" s="30"/>
      <c r="J230" s="32"/>
      <c r="K230" s="32"/>
      <c r="L230" s="23"/>
      <c r="M230" s="23"/>
      <c r="N230" s="26"/>
      <c r="O230" s="26"/>
      <c r="P230" s="26"/>
      <c r="Q230" s="26"/>
      <c r="R230" s="26"/>
      <c r="S230" s="26"/>
      <c r="T230" s="26"/>
      <c r="U230" s="26"/>
      <c r="V230" s="26"/>
      <c r="W230" s="26"/>
      <c r="X230" s="26"/>
      <c r="Y230" s="26"/>
      <c r="Z230" s="26"/>
      <c r="AA230" s="26"/>
      <c r="AB230" s="26"/>
    </row>
    <row r="231">
      <c r="A231" s="34"/>
      <c r="B231" s="35"/>
      <c r="C231" s="30"/>
      <c r="D231" s="30"/>
      <c r="E231" s="30"/>
      <c r="F231" s="30"/>
      <c r="G231" s="30"/>
      <c r="H231" s="31"/>
      <c r="I231" s="30"/>
      <c r="J231" s="32"/>
      <c r="K231" s="32"/>
      <c r="L231" s="23"/>
      <c r="M231" s="23"/>
      <c r="N231" s="26"/>
      <c r="O231" s="26"/>
      <c r="P231" s="26"/>
      <c r="Q231" s="26"/>
      <c r="R231" s="26"/>
      <c r="S231" s="26"/>
      <c r="T231" s="26"/>
      <c r="U231" s="26"/>
      <c r="V231" s="26"/>
      <c r="W231" s="26"/>
      <c r="X231" s="26"/>
      <c r="Y231" s="26"/>
      <c r="Z231" s="26"/>
      <c r="AA231" s="26"/>
      <c r="AB231" s="26"/>
    </row>
    <row r="232">
      <c r="A232" s="34"/>
      <c r="B232" s="35"/>
      <c r="C232" s="30"/>
      <c r="D232" s="30"/>
      <c r="E232" s="30"/>
      <c r="F232" s="30"/>
      <c r="G232" s="30"/>
      <c r="H232" s="31"/>
      <c r="I232" s="30"/>
      <c r="J232" s="32"/>
      <c r="K232" s="32"/>
      <c r="L232" s="23"/>
      <c r="M232" s="23"/>
      <c r="N232" s="26"/>
      <c r="O232" s="26"/>
      <c r="P232" s="26"/>
      <c r="Q232" s="26"/>
      <c r="R232" s="26"/>
      <c r="S232" s="26"/>
      <c r="T232" s="26"/>
      <c r="U232" s="26"/>
      <c r="V232" s="26"/>
      <c r="W232" s="26"/>
      <c r="X232" s="26"/>
      <c r="Y232" s="26"/>
      <c r="Z232" s="26"/>
      <c r="AA232" s="26"/>
      <c r="AB232" s="26"/>
    </row>
    <row r="233">
      <c r="A233" s="34"/>
      <c r="B233" s="35"/>
      <c r="C233" s="30"/>
      <c r="D233" s="30"/>
      <c r="E233" s="30"/>
      <c r="F233" s="30"/>
      <c r="G233" s="30"/>
      <c r="H233" s="31"/>
      <c r="I233" s="30"/>
      <c r="J233" s="32"/>
      <c r="K233" s="32"/>
      <c r="L233" s="23"/>
      <c r="M233" s="23"/>
      <c r="N233" s="26"/>
      <c r="O233" s="26"/>
      <c r="P233" s="26"/>
      <c r="Q233" s="26"/>
      <c r="R233" s="26"/>
      <c r="S233" s="26"/>
      <c r="T233" s="26"/>
      <c r="U233" s="26"/>
      <c r="V233" s="26"/>
      <c r="W233" s="26"/>
      <c r="X233" s="26"/>
      <c r="Y233" s="26"/>
      <c r="Z233" s="26"/>
      <c r="AA233" s="26"/>
      <c r="AB233" s="26"/>
    </row>
    <row r="234">
      <c r="A234" s="34"/>
      <c r="B234" s="35"/>
      <c r="C234" s="30"/>
      <c r="D234" s="30"/>
      <c r="E234" s="30"/>
      <c r="F234" s="30"/>
      <c r="G234" s="30"/>
      <c r="H234" s="31"/>
      <c r="I234" s="30"/>
      <c r="J234" s="32"/>
      <c r="K234" s="32"/>
      <c r="L234" s="23"/>
      <c r="M234" s="23"/>
      <c r="N234" s="26"/>
      <c r="O234" s="26"/>
      <c r="P234" s="26"/>
      <c r="Q234" s="26"/>
      <c r="R234" s="26"/>
      <c r="S234" s="26"/>
      <c r="T234" s="26"/>
      <c r="U234" s="26"/>
      <c r="V234" s="26"/>
      <c r="W234" s="26"/>
      <c r="X234" s="26"/>
      <c r="Y234" s="26"/>
      <c r="Z234" s="26"/>
      <c r="AA234" s="26"/>
      <c r="AB234" s="26"/>
    </row>
    <row r="235">
      <c r="A235" s="34"/>
      <c r="B235" s="35"/>
      <c r="C235" s="30"/>
      <c r="D235" s="30"/>
      <c r="E235" s="30"/>
      <c r="F235" s="30"/>
      <c r="G235" s="30"/>
      <c r="H235" s="31"/>
      <c r="I235" s="30"/>
      <c r="J235" s="32"/>
      <c r="K235" s="32"/>
      <c r="L235" s="23"/>
      <c r="M235" s="23"/>
      <c r="N235" s="26"/>
      <c r="O235" s="26"/>
      <c r="P235" s="26"/>
      <c r="Q235" s="26"/>
      <c r="R235" s="26"/>
      <c r="S235" s="26"/>
      <c r="T235" s="26"/>
      <c r="U235" s="26"/>
      <c r="V235" s="26"/>
      <c r="W235" s="26"/>
      <c r="X235" s="26"/>
      <c r="Y235" s="26"/>
      <c r="Z235" s="26"/>
      <c r="AA235" s="26"/>
      <c r="AB235" s="26"/>
    </row>
    <row r="236">
      <c r="A236" s="34"/>
      <c r="B236" s="35"/>
      <c r="C236" s="30"/>
      <c r="D236" s="30"/>
      <c r="E236" s="30"/>
      <c r="F236" s="30"/>
      <c r="G236" s="30"/>
      <c r="H236" s="31"/>
      <c r="I236" s="30"/>
      <c r="J236" s="32"/>
      <c r="K236" s="32"/>
      <c r="L236" s="23"/>
      <c r="M236" s="23"/>
      <c r="N236" s="26"/>
      <c r="O236" s="26"/>
      <c r="P236" s="26"/>
      <c r="Q236" s="26"/>
      <c r="R236" s="26"/>
      <c r="S236" s="26"/>
      <c r="T236" s="26"/>
      <c r="U236" s="26"/>
      <c r="V236" s="26"/>
      <c r="W236" s="26"/>
      <c r="X236" s="26"/>
      <c r="Y236" s="26"/>
      <c r="Z236" s="26"/>
      <c r="AA236" s="26"/>
      <c r="AB236" s="26"/>
    </row>
    <row r="237">
      <c r="A237" s="34"/>
      <c r="B237" s="35"/>
      <c r="C237" s="30"/>
      <c r="D237" s="30"/>
      <c r="E237" s="30"/>
      <c r="F237" s="30"/>
      <c r="G237" s="30"/>
      <c r="H237" s="31"/>
      <c r="I237" s="30"/>
      <c r="J237" s="32"/>
      <c r="K237" s="32"/>
      <c r="L237" s="23"/>
      <c r="M237" s="23"/>
      <c r="N237" s="26"/>
      <c r="O237" s="26"/>
      <c r="P237" s="26"/>
      <c r="Q237" s="26"/>
      <c r="R237" s="26"/>
      <c r="S237" s="26"/>
      <c r="T237" s="26"/>
      <c r="U237" s="26"/>
      <c r="V237" s="26"/>
      <c r="W237" s="26"/>
      <c r="X237" s="26"/>
      <c r="Y237" s="26"/>
      <c r="Z237" s="26"/>
      <c r="AA237" s="26"/>
      <c r="AB237" s="26"/>
    </row>
    <row r="238">
      <c r="A238" s="34"/>
      <c r="B238" s="35"/>
      <c r="C238" s="30"/>
      <c r="D238" s="30"/>
      <c r="E238" s="30"/>
      <c r="F238" s="30"/>
      <c r="G238" s="30"/>
      <c r="H238" s="31"/>
      <c r="I238" s="30"/>
      <c r="J238" s="32"/>
      <c r="K238" s="32"/>
      <c r="L238" s="23"/>
      <c r="M238" s="23"/>
      <c r="N238" s="26"/>
      <c r="O238" s="26"/>
      <c r="P238" s="26"/>
      <c r="Q238" s="26"/>
      <c r="R238" s="26"/>
      <c r="S238" s="26"/>
      <c r="T238" s="26"/>
      <c r="U238" s="26"/>
      <c r="V238" s="26"/>
      <c r="W238" s="26"/>
      <c r="X238" s="26"/>
      <c r="Y238" s="26"/>
      <c r="Z238" s="26"/>
      <c r="AA238" s="26"/>
      <c r="AB238" s="26"/>
    </row>
    <row r="239">
      <c r="A239" s="34"/>
      <c r="B239" s="35"/>
      <c r="C239" s="30"/>
      <c r="D239" s="30"/>
      <c r="E239" s="30"/>
      <c r="F239" s="30"/>
      <c r="G239" s="30"/>
      <c r="H239" s="31"/>
      <c r="I239" s="30"/>
      <c r="J239" s="32"/>
      <c r="K239" s="32"/>
      <c r="L239" s="23"/>
      <c r="M239" s="23"/>
      <c r="N239" s="26"/>
      <c r="O239" s="26"/>
      <c r="P239" s="26"/>
      <c r="Q239" s="26"/>
      <c r="R239" s="26"/>
      <c r="S239" s="26"/>
      <c r="T239" s="26"/>
      <c r="U239" s="26"/>
      <c r="V239" s="26"/>
      <c r="W239" s="26"/>
      <c r="X239" s="26"/>
      <c r="Y239" s="26"/>
      <c r="Z239" s="26"/>
      <c r="AA239" s="26"/>
      <c r="AB239" s="26"/>
    </row>
    <row r="240">
      <c r="A240" s="34"/>
      <c r="B240" s="35"/>
      <c r="C240" s="30"/>
      <c r="D240" s="30"/>
      <c r="E240" s="30"/>
      <c r="F240" s="30"/>
      <c r="G240" s="30"/>
      <c r="H240" s="31"/>
      <c r="I240" s="30"/>
      <c r="J240" s="32"/>
      <c r="K240" s="32"/>
      <c r="L240" s="23"/>
      <c r="M240" s="23"/>
      <c r="N240" s="26"/>
      <c r="O240" s="26"/>
      <c r="P240" s="26"/>
      <c r="Q240" s="26"/>
      <c r="R240" s="26"/>
      <c r="S240" s="26"/>
      <c r="T240" s="26"/>
      <c r="U240" s="26"/>
      <c r="V240" s="26"/>
      <c r="W240" s="26"/>
      <c r="X240" s="26"/>
      <c r="Y240" s="26"/>
      <c r="Z240" s="26"/>
      <c r="AA240" s="26"/>
      <c r="AB240" s="26"/>
    </row>
    <row r="241">
      <c r="A241" s="34"/>
      <c r="B241" s="35"/>
      <c r="C241" s="30"/>
      <c r="D241" s="30"/>
      <c r="E241" s="30"/>
      <c r="F241" s="30"/>
      <c r="G241" s="30"/>
      <c r="H241" s="31"/>
      <c r="I241" s="30"/>
      <c r="J241" s="32"/>
      <c r="K241" s="32"/>
      <c r="L241" s="23"/>
      <c r="M241" s="23"/>
      <c r="N241" s="26"/>
      <c r="O241" s="26"/>
      <c r="P241" s="26"/>
      <c r="Q241" s="26"/>
      <c r="R241" s="26"/>
      <c r="S241" s="26"/>
      <c r="T241" s="26"/>
      <c r="U241" s="26"/>
      <c r="V241" s="26"/>
      <c r="W241" s="26"/>
      <c r="X241" s="26"/>
      <c r="Y241" s="26"/>
      <c r="Z241" s="26"/>
      <c r="AA241" s="26"/>
      <c r="AB241" s="26"/>
    </row>
    <row r="242">
      <c r="A242" s="34"/>
      <c r="B242" s="35"/>
      <c r="C242" s="30"/>
      <c r="D242" s="30"/>
      <c r="E242" s="30"/>
      <c r="F242" s="30"/>
      <c r="G242" s="30"/>
      <c r="H242" s="31"/>
      <c r="I242" s="30"/>
      <c r="J242" s="32"/>
      <c r="K242" s="32"/>
      <c r="L242" s="23"/>
      <c r="M242" s="23"/>
      <c r="N242" s="26"/>
      <c r="O242" s="26"/>
      <c r="P242" s="26"/>
      <c r="Q242" s="26"/>
      <c r="R242" s="26"/>
      <c r="S242" s="26"/>
      <c r="T242" s="26"/>
      <c r="U242" s="26"/>
      <c r="V242" s="26"/>
      <c r="W242" s="26"/>
      <c r="X242" s="26"/>
      <c r="Y242" s="26"/>
      <c r="Z242" s="26"/>
      <c r="AA242" s="26"/>
      <c r="AB242" s="26"/>
    </row>
    <row r="243">
      <c r="A243" s="34"/>
      <c r="B243" s="35"/>
      <c r="C243" s="30"/>
      <c r="D243" s="30"/>
      <c r="E243" s="30"/>
      <c r="F243" s="30"/>
      <c r="G243" s="30"/>
      <c r="H243" s="31"/>
      <c r="I243" s="30"/>
      <c r="J243" s="32"/>
      <c r="K243" s="32"/>
      <c r="L243" s="23"/>
      <c r="M243" s="23"/>
      <c r="N243" s="26"/>
      <c r="O243" s="26"/>
      <c r="P243" s="26"/>
      <c r="Q243" s="26"/>
      <c r="R243" s="26"/>
      <c r="S243" s="26"/>
      <c r="T243" s="26"/>
      <c r="U243" s="26"/>
      <c r="V243" s="26"/>
      <c r="W243" s="26"/>
      <c r="X243" s="26"/>
      <c r="Y243" s="26"/>
      <c r="Z243" s="26"/>
      <c r="AA243" s="26"/>
      <c r="AB243" s="26"/>
    </row>
    <row r="244">
      <c r="A244" s="34"/>
      <c r="B244" s="35"/>
      <c r="C244" s="30"/>
      <c r="D244" s="30"/>
      <c r="E244" s="30"/>
      <c r="F244" s="30"/>
      <c r="G244" s="30"/>
      <c r="H244" s="31"/>
      <c r="I244" s="30"/>
      <c r="J244" s="32"/>
      <c r="K244" s="32"/>
      <c r="L244" s="23"/>
      <c r="M244" s="23"/>
      <c r="N244" s="26"/>
      <c r="O244" s="26"/>
      <c r="P244" s="26"/>
      <c r="Q244" s="26"/>
      <c r="R244" s="26"/>
      <c r="S244" s="26"/>
      <c r="T244" s="26"/>
      <c r="U244" s="26"/>
      <c r="V244" s="26"/>
      <c r="W244" s="26"/>
      <c r="X244" s="26"/>
      <c r="Y244" s="26"/>
      <c r="Z244" s="26"/>
      <c r="AA244" s="26"/>
      <c r="AB244" s="26"/>
    </row>
    <row r="245">
      <c r="A245" s="34"/>
      <c r="B245" s="35"/>
      <c r="C245" s="30"/>
      <c r="D245" s="30"/>
      <c r="E245" s="30"/>
      <c r="F245" s="30"/>
      <c r="G245" s="30"/>
      <c r="H245" s="31"/>
      <c r="I245" s="30"/>
      <c r="J245" s="32"/>
      <c r="K245" s="32"/>
      <c r="L245" s="23"/>
      <c r="M245" s="23"/>
      <c r="N245" s="26"/>
      <c r="O245" s="26"/>
      <c r="P245" s="26"/>
      <c r="Q245" s="26"/>
      <c r="R245" s="26"/>
      <c r="S245" s="26"/>
      <c r="T245" s="26"/>
      <c r="U245" s="26"/>
      <c r="V245" s="26"/>
      <c r="W245" s="26"/>
      <c r="X245" s="26"/>
      <c r="Y245" s="26"/>
      <c r="Z245" s="26"/>
      <c r="AA245" s="26"/>
      <c r="AB245" s="26"/>
    </row>
    <row r="246">
      <c r="A246" s="34"/>
      <c r="B246" s="35"/>
      <c r="C246" s="30"/>
      <c r="D246" s="30"/>
      <c r="E246" s="30"/>
      <c r="F246" s="30"/>
      <c r="G246" s="30"/>
      <c r="H246" s="31"/>
      <c r="I246" s="30"/>
      <c r="J246" s="32"/>
      <c r="K246" s="32"/>
      <c r="L246" s="23"/>
      <c r="M246" s="23"/>
      <c r="N246" s="26"/>
      <c r="O246" s="26"/>
      <c r="P246" s="26"/>
      <c r="Q246" s="26"/>
      <c r="R246" s="26"/>
      <c r="S246" s="26"/>
      <c r="T246" s="26"/>
      <c r="U246" s="26"/>
      <c r="V246" s="26"/>
      <c r="W246" s="26"/>
      <c r="X246" s="26"/>
      <c r="Y246" s="26"/>
      <c r="Z246" s="26"/>
      <c r="AA246" s="26"/>
      <c r="AB246" s="26"/>
    </row>
    <row r="247">
      <c r="A247" s="34"/>
      <c r="B247" s="35"/>
      <c r="C247" s="30"/>
      <c r="D247" s="30"/>
      <c r="E247" s="30"/>
      <c r="F247" s="30"/>
      <c r="G247" s="30"/>
      <c r="H247" s="31"/>
      <c r="I247" s="30"/>
      <c r="J247" s="32"/>
      <c r="K247" s="32"/>
      <c r="L247" s="23"/>
      <c r="M247" s="23"/>
      <c r="N247" s="26"/>
      <c r="O247" s="26"/>
      <c r="P247" s="26"/>
      <c r="Q247" s="26"/>
      <c r="R247" s="26"/>
      <c r="S247" s="26"/>
      <c r="T247" s="26"/>
      <c r="U247" s="26"/>
      <c r="V247" s="26"/>
      <c r="W247" s="26"/>
      <c r="X247" s="26"/>
      <c r="Y247" s="26"/>
      <c r="Z247" s="26"/>
      <c r="AA247" s="26"/>
      <c r="AB247" s="26"/>
    </row>
    <row r="248">
      <c r="A248" s="34"/>
      <c r="B248" s="35"/>
      <c r="C248" s="30"/>
      <c r="D248" s="30"/>
      <c r="E248" s="30"/>
      <c r="F248" s="30"/>
      <c r="G248" s="30"/>
      <c r="H248" s="31"/>
      <c r="I248" s="30"/>
      <c r="J248" s="32"/>
      <c r="K248" s="32"/>
      <c r="L248" s="23"/>
      <c r="M248" s="23"/>
      <c r="N248" s="26"/>
      <c r="O248" s="26"/>
      <c r="P248" s="26"/>
      <c r="Q248" s="26"/>
      <c r="R248" s="26"/>
      <c r="S248" s="26"/>
      <c r="T248" s="26"/>
      <c r="U248" s="26"/>
      <c r="V248" s="26"/>
      <c r="W248" s="26"/>
      <c r="X248" s="26"/>
      <c r="Y248" s="26"/>
      <c r="Z248" s="26"/>
      <c r="AA248" s="26"/>
      <c r="AB248" s="26"/>
    </row>
    <row r="249">
      <c r="A249" s="34"/>
      <c r="B249" s="35"/>
      <c r="C249" s="30"/>
      <c r="D249" s="30"/>
      <c r="E249" s="30"/>
      <c r="F249" s="30"/>
      <c r="G249" s="30"/>
      <c r="H249" s="31"/>
      <c r="I249" s="30"/>
      <c r="J249" s="32"/>
      <c r="K249" s="32"/>
      <c r="L249" s="23"/>
      <c r="M249" s="23"/>
      <c r="N249" s="26"/>
      <c r="O249" s="26"/>
      <c r="P249" s="26"/>
      <c r="Q249" s="26"/>
      <c r="R249" s="26"/>
      <c r="S249" s="26"/>
      <c r="T249" s="26"/>
      <c r="U249" s="26"/>
      <c r="V249" s="26"/>
      <c r="W249" s="26"/>
      <c r="X249" s="26"/>
      <c r="Y249" s="26"/>
      <c r="Z249" s="26"/>
      <c r="AA249" s="26"/>
      <c r="AB249" s="26"/>
    </row>
    <row r="250">
      <c r="A250" s="34"/>
      <c r="B250" s="35"/>
      <c r="C250" s="30"/>
      <c r="D250" s="30"/>
      <c r="E250" s="30"/>
      <c r="F250" s="30"/>
      <c r="G250" s="30"/>
      <c r="H250" s="31"/>
      <c r="I250" s="30"/>
      <c r="J250" s="32"/>
      <c r="K250" s="32"/>
      <c r="L250" s="23"/>
      <c r="M250" s="23"/>
      <c r="N250" s="26"/>
      <c r="O250" s="26"/>
      <c r="P250" s="26"/>
      <c r="Q250" s="26"/>
      <c r="R250" s="26"/>
      <c r="S250" s="26"/>
      <c r="T250" s="26"/>
      <c r="U250" s="26"/>
      <c r="V250" s="26"/>
      <c r="W250" s="26"/>
      <c r="X250" s="26"/>
      <c r="Y250" s="26"/>
      <c r="Z250" s="26"/>
      <c r="AA250" s="26"/>
      <c r="AB250" s="26"/>
    </row>
    <row r="251">
      <c r="A251" s="34"/>
      <c r="B251" s="35"/>
      <c r="C251" s="30"/>
      <c r="D251" s="30"/>
      <c r="E251" s="30"/>
      <c r="F251" s="30"/>
      <c r="G251" s="30"/>
      <c r="H251" s="31"/>
      <c r="I251" s="30"/>
      <c r="J251" s="32"/>
      <c r="K251" s="32"/>
      <c r="L251" s="23"/>
      <c r="M251" s="23"/>
      <c r="N251" s="26"/>
      <c r="O251" s="26"/>
      <c r="P251" s="26"/>
      <c r="Q251" s="26"/>
      <c r="R251" s="26"/>
      <c r="S251" s="26"/>
      <c r="T251" s="26"/>
      <c r="U251" s="26"/>
      <c r="V251" s="26"/>
      <c r="W251" s="26"/>
      <c r="X251" s="26"/>
      <c r="Y251" s="26"/>
      <c r="Z251" s="26"/>
      <c r="AA251" s="26"/>
      <c r="AB251" s="26"/>
    </row>
    <row r="252">
      <c r="A252" s="34"/>
      <c r="B252" s="35"/>
      <c r="C252" s="30"/>
      <c r="D252" s="30"/>
      <c r="E252" s="30"/>
      <c r="F252" s="30"/>
      <c r="G252" s="30"/>
      <c r="H252" s="31"/>
      <c r="I252" s="30"/>
      <c r="J252" s="32"/>
      <c r="K252" s="32"/>
      <c r="L252" s="23"/>
      <c r="M252" s="23"/>
      <c r="N252" s="26"/>
      <c r="O252" s="26"/>
      <c r="P252" s="26"/>
      <c r="Q252" s="26"/>
      <c r="R252" s="26"/>
      <c r="S252" s="26"/>
      <c r="T252" s="26"/>
      <c r="U252" s="26"/>
      <c r="V252" s="26"/>
      <c r="W252" s="26"/>
      <c r="X252" s="26"/>
      <c r="Y252" s="26"/>
      <c r="Z252" s="26"/>
      <c r="AA252" s="26"/>
      <c r="AB252" s="26"/>
    </row>
    <row r="253">
      <c r="A253" s="34"/>
      <c r="B253" s="35"/>
      <c r="C253" s="30"/>
      <c r="D253" s="30"/>
      <c r="E253" s="30"/>
      <c r="F253" s="30"/>
      <c r="G253" s="30"/>
      <c r="H253" s="31"/>
      <c r="I253" s="30"/>
      <c r="J253" s="32"/>
      <c r="K253" s="32"/>
      <c r="L253" s="23"/>
      <c r="M253" s="23"/>
      <c r="N253" s="26"/>
      <c r="O253" s="26"/>
      <c r="P253" s="26"/>
      <c r="Q253" s="26"/>
      <c r="R253" s="26"/>
      <c r="S253" s="26"/>
      <c r="T253" s="26"/>
      <c r="U253" s="26"/>
      <c r="V253" s="26"/>
      <c r="W253" s="26"/>
      <c r="X253" s="26"/>
      <c r="Y253" s="26"/>
      <c r="Z253" s="26"/>
      <c r="AA253" s="26"/>
      <c r="AB253" s="26"/>
    </row>
    <row r="254">
      <c r="A254" s="34"/>
      <c r="B254" s="35"/>
      <c r="C254" s="30"/>
      <c r="D254" s="30"/>
      <c r="E254" s="30"/>
      <c r="F254" s="30"/>
      <c r="G254" s="30"/>
      <c r="H254" s="31"/>
      <c r="I254" s="30"/>
      <c r="J254" s="32"/>
      <c r="K254" s="32"/>
      <c r="L254" s="23"/>
      <c r="M254" s="23"/>
      <c r="N254" s="26"/>
      <c r="O254" s="26"/>
      <c r="P254" s="26"/>
      <c r="Q254" s="26"/>
      <c r="R254" s="26"/>
      <c r="S254" s="26"/>
      <c r="T254" s="26"/>
      <c r="U254" s="26"/>
      <c r="V254" s="26"/>
      <c r="W254" s="26"/>
      <c r="X254" s="26"/>
      <c r="Y254" s="26"/>
      <c r="Z254" s="26"/>
      <c r="AA254" s="26"/>
      <c r="AB254" s="26"/>
    </row>
    <row r="255">
      <c r="A255" s="34"/>
      <c r="B255" s="35"/>
      <c r="C255" s="30"/>
      <c r="D255" s="30"/>
      <c r="E255" s="30"/>
      <c r="F255" s="30"/>
      <c r="G255" s="30"/>
      <c r="H255" s="31"/>
      <c r="I255" s="30"/>
      <c r="J255" s="32"/>
      <c r="K255" s="32"/>
      <c r="L255" s="23"/>
      <c r="M255" s="23"/>
      <c r="N255" s="26"/>
      <c r="O255" s="26"/>
      <c r="P255" s="26"/>
      <c r="Q255" s="26"/>
      <c r="R255" s="26"/>
      <c r="S255" s="26"/>
      <c r="T255" s="26"/>
      <c r="U255" s="26"/>
      <c r="V255" s="26"/>
      <c r="W255" s="26"/>
      <c r="X255" s="26"/>
      <c r="Y255" s="26"/>
      <c r="Z255" s="26"/>
      <c r="AA255" s="26"/>
      <c r="AB255" s="26"/>
    </row>
    <row r="256">
      <c r="A256" s="34"/>
      <c r="B256" s="35"/>
      <c r="C256" s="30"/>
      <c r="D256" s="30"/>
      <c r="E256" s="30"/>
      <c r="F256" s="30"/>
      <c r="G256" s="30"/>
      <c r="H256" s="31"/>
      <c r="I256" s="30"/>
      <c r="J256" s="32"/>
      <c r="K256" s="32"/>
      <c r="L256" s="23"/>
      <c r="M256" s="23"/>
      <c r="N256" s="26"/>
      <c r="O256" s="26"/>
      <c r="P256" s="26"/>
      <c r="Q256" s="26"/>
      <c r="R256" s="26"/>
      <c r="S256" s="26"/>
      <c r="T256" s="26"/>
      <c r="U256" s="26"/>
      <c r="V256" s="26"/>
      <c r="W256" s="26"/>
      <c r="X256" s="26"/>
      <c r="Y256" s="26"/>
      <c r="Z256" s="26"/>
      <c r="AA256" s="26"/>
      <c r="AB256" s="26"/>
    </row>
    <row r="257">
      <c r="A257" s="1"/>
      <c r="B257" s="36"/>
      <c r="C257" s="36"/>
      <c r="D257" s="36"/>
      <c r="E257" s="36"/>
      <c r="F257" s="36"/>
      <c r="G257" s="36"/>
      <c r="H257" s="37"/>
      <c r="I257" s="36"/>
      <c r="J257" s="38"/>
      <c r="K257" s="38"/>
      <c r="L257" s="36"/>
      <c r="M257" s="36"/>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6"/>
      <c r="M258" s="36"/>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6"/>
      <c r="M259" s="36"/>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6"/>
      <c r="M260" s="36"/>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6"/>
      <c r="M261" s="36"/>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6"/>
      <c r="M262" s="36"/>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6"/>
      <c r="M263" s="36"/>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6"/>
      <c r="M264" s="36"/>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6"/>
      <c r="M265" s="36"/>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6"/>
      <c r="M266" s="36"/>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6"/>
      <c r="M267" s="36"/>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6"/>
      <c r="M268" s="36"/>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6"/>
      <c r="M269" s="36"/>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6"/>
      <c r="M270" s="36"/>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6"/>
      <c r="M271" s="36"/>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6"/>
      <c r="M272" s="36"/>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6"/>
      <c r="M273" s="36"/>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6"/>
      <c r="M274" s="36"/>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6"/>
      <c r="M275" s="36"/>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6"/>
      <c r="M276" s="36"/>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6"/>
      <c r="M277" s="36"/>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6"/>
      <c r="M278" s="36"/>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6"/>
      <c r="M279" s="36"/>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6"/>
      <c r="M280" s="36"/>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6"/>
      <c r="M281" s="36"/>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6"/>
      <c r="M282" s="36"/>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6"/>
      <c r="M283" s="36"/>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6"/>
      <c r="M284" s="36"/>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6"/>
      <c r="M285" s="36"/>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6"/>
      <c r="M286" s="36"/>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6"/>
      <c r="M287" s="36"/>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6"/>
      <c r="M288" s="36"/>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6"/>
      <c r="M289" s="36"/>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6"/>
      <c r="M290" s="36"/>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6"/>
      <c r="M291" s="36"/>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6"/>
      <c r="M292" s="36"/>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6"/>
      <c r="M293" s="36"/>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6"/>
      <c r="M294" s="36"/>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6"/>
      <c r="M295" s="36"/>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6"/>
      <c r="M296" s="36"/>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6"/>
      <c r="M297" s="36"/>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6"/>
      <c r="M298" s="36"/>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6"/>
      <c r="M299" s="36"/>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6"/>
      <c r="M300" s="36"/>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6"/>
      <c r="M301" s="36"/>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6"/>
      <c r="M302" s="36"/>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6"/>
      <c r="M303" s="36"/>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6"/>
      <c r="M304" s="36"/>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6"/>
      <c r="M305" s="36"/>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6"/>
      <c r="M306" s="36"/>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6"/>
      <c r="M307" s="36"/>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6"/>
      <c r="M308" s="36"/>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6"/>
      <c r="M309" s="36"/>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6"/>
      <c r="M310" s="36"/>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6"/>
      <c r="M311" s="36"/>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6"/>
      <c r="M312" s="36"/>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6"/>
      <c r="M313" s="36"/>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6"/>
      <c r="M314" s="36"/>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6"/>
      <c r="M315" s="36"/>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6"/>
      <c r="M316" s="36"/>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6"/>
      <c r="M317" s="36"/>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6"/>
      <c r="M318" s="36"/>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6"/>
      <c r="M319" s="36"/>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6"/>
      <c r="M320" s="36"/>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6"/>
      <c r="M321" s="36"/>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6"/>
      <c r="M322" s="36"/>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6"/>
      <c r="M323" s="36"/>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6"/>
      <c r="M324" s="36"/>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6"/>
      <c r="M325" s="36"/>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6"/>
      <c r="M326" s="36"/>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6"/>
      <c r="M327" s="36"/>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6"/>
      <c r="M328" s="36"/>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6"/>
      <c r="M329" s="36"/>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6"/>
      <c r="M330" s="36"/>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6"/>
      <c r="M331" s="36"/>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6"/>
      <c r="M332" s="36"/>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6"/>
      <c r="M333" s="36"/>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6"/>
      <c r="M334" s="36"/>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6"/>
      <c r="M335" s="36"/>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6"/>
      <c r="M336" s="36"/>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6"/>
      <c r="M337" s="36"/>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6"/>
      <c r="M338" s="36"/>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6"/>
      <c r="M339" s="36"/>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6"/>
      <c r="M340" s="36"/>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6"/>
      <c r="M341" s="36"/>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6"/>
      <c r="M342" s="36"/>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6"/>
      <c r="M343" s="36"/>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6"/>
      <c r="M344" s="36"/>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6"/>
      <c r="M345" s="36"/>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6"/>
      <c r="M346" s="36"/>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6"/>
      <c r="M347" s="36"/>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6"/>
      <c r="M348" s="36"/>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6"/>
      <c r="M349" s="36"/>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6"/>
      <c r="M350" s="36"/>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6"/>
      <c r="M351" s="36"/>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6"/>
      <c r="M352" s="36"/>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6"/>
      <c r="M353" s="36"/>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6"/>
      <c r="M354" s="36"/>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6"/>
      <c r="M355" s="36"/>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6"/>
      <c r="M356" s="36"/>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6"/>
      <c r="M357" s="36"/>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6"/>
      <c r="M358" s="36"/>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6"/>
      <c r="M359" s="36"/>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6"/>
      <c r="M360" s="36"/>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6"/>
      <c r="M361" s="36"/>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6"/>
      <c r="M362" s="36"/>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6"/>
      <c r="M363" s="36"/>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6"/>
      <c r="M364" s="36"/>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6"/>
      <c r="M365" s="36"/>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6"/>
      <c r="M366" s="36"/>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6"/>
      <c r="M367" s="36"/>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6"/>
      <c r="M368" s="36"/>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6"/>
      <c r="M369" s="36"/>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6"/>
      <c r="M370" s="36"/>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6"/>
      <c r="M371" s="36"/>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6"/>
      <c r="M372" s="36"/>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6"/>
      <c r="M373" s="36"/>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6"/>
      <c r="M374" s="36"/>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6"/>
      <c r="M375" s="36"/>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6"/>
      <c r="M376" s="36"/>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6"/>
      <c r="M377" s="36"/>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6"/>
      <c r="M378" s="36"/>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6"/>
      <c r="M379" s="36"/>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6"/>
      <c r="M380" s="36"/>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6"/>
      <c r="M381" s="36"/>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6"/>
      <c r="M382" s="36"/>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6"/>
      <c r="M383" s="36"/>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6"/>
      <c r="M384" s="36"/>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6"/>
      <c r="M385" s="36"/>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6"/>
      <c r="M386" s="36"/>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6"/>
      <c r="M387" s="36"/>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6"/>
      <c r="M388" s="36"/>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6"/>
      <c r="M389" s="36"/>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6"/>
      <c r="M390" s="36"/>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6"/>
      <c r="M391" s="36"/>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6"/>
      <c r="M392" s="36"/>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6"/>
      <c r="M393" s="36"/>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6"/>
      <c r="M394" s="36"/>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6"/>
      <c r="M395" s="36"/>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6"/>
      <c r="M396" s="36"/>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6"/>
      <c r="M397" s="36"/>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6"/>
      <c r="M398" s="36"/>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6"/>
      <c r="M399" s="36"/>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6"/>
      <c r="M400" s="36"/>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6"/>
      <c r="M401" s="36"/>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6"/>
      <c r="M402" s="36"/>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6"/>
      <c r="M403" s="36"/>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6"/>
      <c r="M404" s="36"/>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6"/>
      <c r="M405" s="36"/>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6"/>
      <c r="M406" s="36"/>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6"/>
      <c r="M407" s="36"/>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6"/>
      <c r="M408" s="36"/>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6"/>
      <c r="M409" s="36"/>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6"/>
      <c r="M410" s="36"/>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6"/>
      <c r="M411" s="36"/>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6"/>
      <c r="M412" s="36"/>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6"/>
      <c r="M413" s="36"/>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6"/>
      <c r="M414" s="36"/>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6"/>
      <c r="M415" s="36"/>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6"/>
      <c r="M416" s="36"/>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6"/>
      <c r="M417" s="36"/>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6"/>
      <c r="M418" s="36"/>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6"/>
      <c r="M419" s="36"/>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6"/>
      <c r="M420" s="36"/>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6"/>
      <c r="M421" s="36"/>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6"/>
      <c r="M422" s="36"/>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6"/>
      <c r="M423" s="36"/>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6"/>
      <c r="M424" s="36"/>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6"/>
      <c r="M425" s="36"/>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6"/>
      <c r="M426" s="36"/>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6"/>
      <c r="M427" s="36"/>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6"/>
      <c r="M428" s="36"/>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6"/>
      <c r="M429" s="36"/>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6"/>
      <c r="M430" s="36"/>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6"/>
      <c r="M431" s="36"/>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6"/>
      <c r="M432" s="36"/>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6"/>
      <c r="M433" s="36"/>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6"/>
      <c r="M434" s="36"/>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6"/>
      <c r="M435" s="36"/>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6"/>
      <c r="M436" s="36"/>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6"/>
      <c r="M437" s="36"/>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6"/>
      <c r="M438" s="36"/>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6"/>
      <c r="M439" s="36"/>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6"/>
      <c r="M440" s="36"/>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6"/>
      <c r="M441" s="36"/>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6"/>
      <c r="M442" s="36"/>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6"/>
      <c r="M443" s="36"/>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6"/>
      <c r="M444" s="36"/>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6"/>
      <c r="M445" s="36"/>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6"/>
      <c r="M446" s="36"/>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6"/>
      <c r="M447" s="36"/>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6"/>
      <c r="M448" s="36"/>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6"/>
      <c r="M449" s="36"/>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6"/>
      <c r="M450" s="36"/>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6"/>
      <c r="M451" s="36"/>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6"/>
      <c r="M452" s="36"/>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6"/>
      <c r="M453" s="36"/>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6"/>
      <c r="M454" s="36"/>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6"/>
      <c r="M455" s="36"/>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6"/>
      <c r="M456" s="36"/>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6"/>
      <c r="M457" s="36"/>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6"/>
      <c r="M458" s="36"/>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6"/>
      <c r="M459" s="36"/>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6"/>
      <c r="M460" s="36"/>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6"/>
      <c r="M461" s="36"/>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6"/>
      <c r="M462" s="36"/>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6"/>
      <c r="M463" s="36"/>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6"/>
      <c r="M464" s="36"/>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6"/>
      <c r="M465" s="36"/>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6"/>
      <c r="M466" s="36"/>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6"/>
      <c r="M467" s="36"/>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6"/>
      <c r="M468" s="36"/>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6"/>
      <c r="M469" s="36"/>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6"/>
      <c r="M470" s="36"/>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6"/>
      <c r="M471" s="36"/>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6"/>
      <c r="M472" s="36"/>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6"/>
      <c r="M473" s="36"/>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6"/>
      <c r="M474" s="36"/>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6"/>
      <c r="M475" s="36"/>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6"/>
      <c r="M476" s="36"/>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6"/>
      <c r="M477" s="36"/>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6"/>
      <c r="M478" s="36"/>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6"/>
      <c r="M479" s="36"/>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6"/>
      <c r="M480" s="36"/>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6"/>
      <c r="M481" s="36"/>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6"/>
      <c r="M482" s="36"/>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6"/>
      <c r="M483" s="36"/>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6"/>
      <c r="M484" s="36"/>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6"/>
      <c r="M485" s="36"/>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6"/>
      <c r="M486" s="36"/>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6"/>
      <c r="M487" s="36"/>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6"/>
      <c r="M488" s="36"/>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6"/>
      <c r="M489" s="36"/>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6"/>
      <c r="M490" s="36"/>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6"/>
      <c r="M491" s="36"/>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6"/>
      <c r="M492" s="36"/>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6"/>
      <c r="M493" s="36"/>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6"/>
      <c r="M494" s="36"/>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6"/>
      <c r="M495" s="36"/>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6"/>
      <c r="M496" s="36"/>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6"/>
      <c r="M497" s="36"/>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6"/>
      <c r="M498" s="36"/>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6"/>
      <c r="M499" s="36"/>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6"/>
      <c r="M500" s="36"/>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6"/>
      <c r="M501" s="36"/>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6"/>
      <c r="M502" s="36"/>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6"/>
      <c r="M503" s="36"/>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6"/>
      <c r="M504" s="36"/>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6"/>
      <c r="M505" s="36"/>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6"/>
      <c r="M506" s="36"/>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6"/>
      <c r="M507" s="36"/>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6"/>
      <c r="M508" s="36"/>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6"/>
      <c r="M509" s="36"/>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6"/>
      <c r="M510" s="36"/>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6"/>
      <c r="M511" s="36"/>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6"/>
      <c r="M512" s="36"/>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6"/>
      <c r="M513" s="36"/>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6"/>
      <c r="M514" s="36"/>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6"/>
      <c r="M515" s="36"/>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6"/>
      <c r="M516" s="36"/>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6"/>
      <c r="M517" s="36"/>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6"/>
      <c r="M518" s="36"/>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6"/>
      <c r="M519" s="36"/>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6"/>
      <c r="M520" s="36"/>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6"/>
      <c r="M521" s="36"/>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6"/>
      <c r="M522" s="36"/>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6"/>
      <c r="M523" s="36"/>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6"/>
      <c r="M524" s="36"/>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6"/>
      <c r="M525" s="36"/>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6"/>
      <c r="M526" s="36"/>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6"/>
      <c r="M527" s="36"/>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6"/>
      <c r="M528" s="36"/>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6"/>
      <c r="M529" s="36"/>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6"/>
      <c r="M530" s="36"/>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6"/>
      <c r="M531" s="36"/>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6"/>
      <c r="M532" s="36"/>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6"/>
      <c r="M533" s="36"/>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6"/>
      <c r="M534" s="36"/>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6"/>
      <c r="M535" s="36"/>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6"/>
      <c r="M536" s="36"/>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6"/>
      <c r="M537" s="36"/>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6"/>
      <c r="M538" s="36"/>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6"/>
      <c r="M539" s="36"/>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6"/>
      <c r="M540" s="36"/>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6"/>
      <c r="M541" s="36"/>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6"/>
      <c r="M542" s="36"/>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6"/>
      <c r="M543" s="36"/>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6"/>
      <c r="M544" s="36"/>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6"/>
      <c r="M545" s="36"/>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6"/>
      <c r="M546" s="36"/>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6"/>
      <c r="M547" s="36"/>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6"/>
      <c r="M548" s="36"/>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6"/>
      <c r="M549" s="36"/>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6"/>
      <c r="M550" s="36"/>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6"/>
      <c r="M551" s="36"/>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6"/>
      <c r="M552" s="36"/>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6"/>
      <c r="M553" s="36"/>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6"/>
      <c r="M554" s="36"/>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6"/>
      <c r="M555" s="36"/>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6"/>
      <c r="M556" s="36"/>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6"/>
      <c r="M557" s="36"/>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6"/>
      <c r="M558" s="36"/>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6"/>
      <c r="M559" s="36"/>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6"/>
      <c r="M560" s="36"/>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6"/>
      <c r="M561" s="36"/>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6"/>
      <c r="M562" s="36"/>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6"/>
      <c r="M563" s="36"/>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6"/>
      <c r="M564" s="36"/>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6"/>
      <c r="M565" s="36"/>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6"/>
      <c r="M566" s="36"/>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6"/>
      <c r="M567" s="36"/>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6"/>
      <c r="M568" s="36"/>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6"/>
      <c r="M569" s="36"/>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6"/>
      <c r="M570" s="36"/>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6"/>
      <c r="M571" s="36"/>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6"/>
      <c r="M572" s="36"/>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6"/>
      <c r="M573" s="36"/>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6"/>
      <c r="M574" s="36"/>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6"/>
      <c r="M575" s="36"/>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6"/>
      <c r="M576" s="36"/>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6"/>
      <c r="M577" s="36"/>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6"/>
      <c r="M578" s="36"/>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6"/>
      <c r="M579" s="36"/>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6"/>
      <c r="M580" s="36"/>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6"/>
      <c r="M581" s="36"/>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6"/>
      <c r="M582" s="36"/>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6"/>
      <c r="M583" s="36"/>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6"/>
      <c r="M584" s="36"/>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6"/>
      <c r="M585" s="36"/>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6"/>
      <c r="M586" s="36"/>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6"/>
      <c r="M587" s="36"/>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6"/>
      <c r="M588" s="36"/>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6"/>
      <c r="M589" s="36"/>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6"/>
      <c r="M590" s="36"/>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6"/>
      <c r="M591" s="36"/>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6"/>
      <c r="M592" s="36"/>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6"/>
      <c r="M593" s="36"/>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6"/>
      <c r="M594" s="36"/>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6"/>
      <c r="M595" s="36"/>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6"/>
      <c r="M596" s="36"/>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6"/>
      <c r="M597" s="36"/>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6"/>
      <c r="M598" s="36"/>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6"/>
      <c r="M599" s="36"/>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6"/>
      <c r="M600" s="36"/>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6"/>
      <c r="M601" s="36"/>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6"/>
      <c r="M602" s="36"/>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6"/>
      <c r="M603" s="36"/>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6"/>
      <c r="M604" s="36"/>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6"/>
      <c r="M605" s="36"/>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6"/>
      <c r="M606" s="36"/>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6"/>
      <c r="M607" s="36"/>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6"/>
      <c r="M608" s="36"/>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6"/>
      <c r="M609" s="36"/>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6"/>
      <c r="M610" s="36"/>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6"/>
      <c r="M611" s="36"/>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6"/>
      <c r="M612" s="36"/>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6"/>
      <c r="M613" s="36"/>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6"/>
      <c r="M614" s="36"/>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6"/>
      <c r="M615" s="36"/>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6"/>
      <c r="M616" s="36"/>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6"/>
      <c r="M617" s="36"/>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6"/>
      <c r="M618" s="36"/>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6"/>
      <c r="M619" s="36"/>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6"/>
      <c r="M620" s="36"/>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6"/>
      <c r="M621" s="36"/>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6"/>
      <c r="M622" s="36"/>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6"/>
      <c r="M623" s="36"/>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6"/>
      <c r="M624" s="36"/>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6"/>
      <c r="M625" s="36"/>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6"/>
      <c r="M626" s="36"/>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6"/>
      <c r="M627" s="36"/>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6"/>
      <c r="M628" s="36"/>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6"/>
      <c r="M629" s="36"/>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6"/>
      <c r="M630" s="36"/>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6"/>
      <c r="M631" s="36"/>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6"/>
      <c r="M632" s="36"/>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6"/>
      <c r="M633" s="36"/>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6"/>
      <c r="M634" s="36"/>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6"/>
      <c r="M635" s="36"/>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6"/>
      <c r="M636" s="36"/>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6"/>
      <c r="M637" s="36"/>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6"/>
      <c r="M638" s="36"/>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6"/>
      <c r="M639" s="36"/>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6"/>
      <c r="M640" s="36"/>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6"/>
      <c r="M641" s="36"/>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6"/>
      <c r="M642" s="36"/>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6"/>
      <c r="M643" s="36"/>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6"/>
      <c r="M644" s="36"/>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6"/>
      <c r="M645" s="36"/>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6"/>
      <c r="M646" s="36"/>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6"/>
      <c r="M647" s="36"/>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6"/>
      <c r="M648" s="36"/>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6"/>
      <c r="M649" s="36"/>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6"/>
      <c r="M650" s="36"/>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6"/>
      <c r="M651" s="36"/>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6"/>
      <c r="M652" s="36"/>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6"/>
      <c r="M653" s="36"/>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6"/>
      <c r="M654" s="36"/>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6"/>
      <c r="M655" s="36"/>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6"/>
      <c r="M656" s="36"/>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6"/>
      <c r="M657" s="36"/>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6"/>
      <c r="M658" s="36"/>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6"/>
      <c r="M659" s="36"/>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6"/>
      <c r="M660" s="36"/>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6"/>
      <c r="M661" s="36"/>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6"/>
      <c r="M662" s="36"/>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6"/>
      <c r="M663" s="36"/>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6"/>
      <c r="M664" s="36"/>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6"/>
      <c r="M665" s="36"/>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6"/>
      <c r="M666" s="36"/>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6"/>
      <c r="M667" s="36"/>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6"/>
      <c r="M668" s="36"/>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6"/>
      <c r="M669" s="36"/>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6"/>
      <c r="M670" s="36"/>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6"/>
      <c r="M671" s="36"/>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6"/>
      <c r="M672" s="36"/>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6"/>
      <c r="M673" s="36"/>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6"/>
      <c r="M674" s="36"/>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6"/>
      <c r="M675" s="36"/>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6"/>
      <c r="M676" s="36"/>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6"/>
      <c r="M677" s="36"/>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6"/>
      <c r="M678" s="36"/>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6"/>
      <c r="M679" s="36"/>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6"/>
      <c r="M680" s="36"/>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6"/>
      <c r="M681" s="36"/>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6"/>
      <c r="M682" s="36"/>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6"/>
      <c r="M683" s="36"/>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6"/>
      <c r="M684" s="36"/>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6"/>
      <c r="M685" s="36"/>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6"/>
      <c r="M686" s="36"/>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6"/>
      <c r="M687" s="36"/>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6"/>
      <c r="M688" s="36"/>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6"/>
      <c r="M689" s="36"/>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6"/>
      <c r="M690" s="36"/>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6"/>
      <c r="M691" s="36"/>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6"/>
      <c r="M692" s="36"/>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6"/>
      <c r="M693" s="36"/>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6"/>
      <c r="M694" s="36"/>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6"/>
      <c r="M695" s="36"/>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6"/>
      <c r="M696" s="36"/>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6"/>
      <c r="M697" s="36"/>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6"/>
      <c r="M698" s="36"/>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6"/>
      <c r="M699" s="36"/>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6"/>
      <c r="M700" s="36"/>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6"/>
      <c r="M701" s="36"/>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6"/>
      <c r="M702" s="36"/>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6"/>
      <c r="M703" s="36"/>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6"/>
      <c r="M704" s="36"/>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6"/>
      <c r="M705" s="36"/>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6"/>
      <c r="M706" s="36"/>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6"/>
      <c r="M707" s="36"/>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6"/>
      <c r="M708" s="36"/>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6"/>
      <c r="M709" s="36"/>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6"/>
      <c r="M710" s="36"/>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6"/>
      <c r="M711" s="36"/>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6"/>
      <c r="M712" s="36"/>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6"/>
      <c r="M713" s="36"/>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6"/>
      <c r="M714" s="36"/>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6"/>
      <c r="M715" s="36"/>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6"/>
      <c r="M716" s="36"/>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6"/>
      <c r="M717" s="36"/>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6"/>
      <c r="M718" s="36"/>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6"/>
      <c r="M719" s="36"/>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6"/>
      <c r="M720" s="36"/>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6"/>
      <c r="M721" s="36"/>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6"/>
      <c r="M722" s="36"/>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6"/>
      <c r="M723" s="36"/>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6"/>
      <c r="M724" s="36"/>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6"/>
      <c r="M725" s="36"/>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6"/>
      <c r="M726" s="36"/>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6"/>
      <c r="M727" s="36"/>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6"/>
      <c r="M728" s="36"/>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6"/>
      <c r="M729" s="36"/>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6"/>
      <c r="M730" s="36"/>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6"/>
      <c r="M731" s="36"/>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6"/>
      <c r="M732" s="36"/>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6"/>
      <c r="M733" s="36"/>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6"/>
      <c r="M734" s="36"/>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6"/>
      <c r="M735" s="36"/>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6"/>
      <c r="M736" s="36"/>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6"/>
      <c r="M737" s="36"/>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6"/>
      <c r="M738" s="36"/>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6"/>
      <c r="M739" s="36"/>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6"/>
      <c r="M740" s="36"/>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6"/>
      <c r="M741" s="36"/>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6"/>
      <c r="M742" s="36"/>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6"/>
      <c r="M743" s="36"/>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6"/>
      <c r="M744" s="36"/>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6"/>
      <c r="M745" s="36"/>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6"/>
      <c r="M746" s="36"/>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6"/>
      <c r="M747" s="36"/>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6"/>
      <c r="M748" s="36"/>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6"/>
      <c r="M749" s="36"/>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6"/>
      <c r="M750" s="36"/>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6"/>
      <c r="M751" s="36"/>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6"/>
      <c r="M752" s="36"/>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6"/>
      <c r="M753" s="36"/>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6"/>
      <c r="M754" s="36"/>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6"/>
      <c r="M755" s="36"/>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6"/>
      <c r="M756" s="36"/>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6"/>
      <c r="M757" s="36"/>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6"/>
      <c r="M758" s="36"/>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6"/>
      <c r="M759" s="36"/>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6"/>
      <c r="M760" s="36"/>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6"/>
      <c r="M761" s="36"/>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6"/>
      <c r="M762" s="36"/>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6"/>
      <c r="M763" s="36"/>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6"/>
      <c r="M764" s="36"/>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6"/>
      <c r="M765" s="36"/>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6"/>
      <c r="M766" s="36"/>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6"/>
      <c r="M767" s="36"/>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6"/>
      <c r="M768" s="36"/>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6"/>
      <c r="M769" s="36"/>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6"/>
      <c r="M770" s="36"/>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6"/>
      <c r="M771" s="36"/>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6"/>
      <c r="M772" s="36"/>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6"/>
      <c r="M773" s="36"/>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6"/>
      <c r="M774" s="36"/>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6"/>
      <c r="M775" s="36"/>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6"/>
      <c r="M776" s="36"/>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6"/>
      <c r="M777" s="36"/>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6"/>
      <c r="M778" s="36"/>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6"/>
      <c r="M779" s="36"/>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6"/>
      <c r="M780" s="36"/>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6"/>
      <c r="M781" s="36"/>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6"/>
      <c r="M782" s="36"/>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6"/>
      <c r="M783" s="36"/>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6"/>
      <c r="M784" s="36"/>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6"/>
      <c r="M785" s="36"/>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6"/>
      <c r="M786" s="36"/>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6"/>
      <c r="M787" s="36"/>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6"/>
      <c r="M788" s="36"/>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6"/>
      <c r="M789" s="36"/>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6"/>
      <c r="M790" s="36"/>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6"/>
      <c r="M791" s="36"/>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6"/>
      <c r="M792" s="36"/>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6"/>
      <c r="M793" s="36"/>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6"/>
      <c r="M794" s="36"/>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6"/>
      <c r="M795" s="36"/>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6"/>
      <c r="M796" s="36"/>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6"/>
      <c r="M797" s="36"/>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6"/>
      <c r="M798" s="36"/>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6"/>
      <c r="M799" s="36"/>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6"/>
      <c r="M800" s="36"/>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6"/>
      <c r="M801" s="36"/>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6"/>
      <c r="M802" s="36"/>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6"/>
      <c r="M803" s="36"/>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6"/>
      <c r="M804" s="36"/>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6"/>
      <c r="M805" s="36"/>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6"/>
      <c r="M806" s="36"/>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6"/>
      <c r="M807" s="36"/>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6"/>
      <c r="M808" s="36"/>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6"/>
      <c r="M809" s="36"/>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6"/>
      <c r="M810" s="36"/>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6"/>
      <c r="M811" s="36"/>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6"/>
      <c r="M812" s="36"/>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6"/>
      <c r="M813" s="36"/>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6"/>
      <c r="M814" s="36"/>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6"/>
      <c r="M815" s="36"/>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6"/>
      <c r="M816" s="36"/>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6"/>
      <c r="M817" s="36"/>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6"/>
      <c r="M818" s="36"/>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6"/>
      <c r="M819" s="36"/>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6"/>
      <c r="M820" s="36"/>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6"/>
      <c r="M821" s="36"/>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6"/>
      <c r="M822" s="36"/>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6"/>
      <c r="M823" s="36"/>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6"/>
      <c r="M824" s="36"/>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6"/>
      <c r="M825" s="36"/>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6"/>
      <c r="M826" s="36"/>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6"/>
      <c r="M827" s="36"/>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6"/>
      <c r="M828" s="36"/>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6"/>
      <c r="M829" s="36"/>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6"/>
      <c r="M830" s="36"/>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6"/>
      <c r="M831" s="36"/>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6"/>
      <c r="M832" s="36"/>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6"/>
      <c r="M833" s="36"/>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6"/>
      <c r="M834" s="36"/>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6"/>
      <c r="M835" s="36"/>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6"/>
      <c r="M836" s="36"/>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6"/>
      <c r="M837" s="36"/>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6"/>
      <c r="M838" s="36"/>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6"/>
      <c r="M839" s="36"/>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6"/>
      <c r="M840" s="36"/>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6"/>
      <c r="M841" s="36"/>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6"/>
      <c r="M842" s="36"/>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6"/>
      <c r="M843" s="36"/>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6"/>
      <c r="M844" s="36"/>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6"/>
      <c r="M845" s="36"/>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6"/>
      <c r="M846" s="36"/>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6"/>
      <c r="M847" s="36"/>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6"/>
      <c r="M848" s="36"/>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6"/>
      <c r="M849" s="36"/>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6"/>
      <c r="M850" s="36"/>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6"/>
      <c r="M851" s="36"/>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6"/>
      <c r="M852" s="36"/>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6"/>
      <c r="M853" s="36"/>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6"/>
      <c r="M854" s="36"/>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6"/>
      <c r="M855" s="36"/>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6"/>
      <c r="M856" s="36"/>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6"/>
      <c r="M857" s="36"/>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6"/>
      <c r="M858" s="36"/>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6"/>
      <c r="M859" s="36"/>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6"/>
      <c r="M860" s="36"/>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6"/>
      <c r="M861" s="36"/>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6"/>
      <c r="M862" s="36"/>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6"/>
      <c r="M863" s="36"/>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6"/>
      <c r="M864" s="36"/>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6"/>
      <c r="M865" s="36"/>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6"/>
      <c r="M866" s="36"/>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6"/>
      <c r="M867" s="36"/>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6"/>
      <c r="M868" s="36"/>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6"/>
      <c r="M869" s="36"/>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6"/>
      <c r="M870" s="36"/>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6"/>
      <c r="M871" s="36"/>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6"/>
      <c r="M872" s="36"/>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6"/>
      <c r="M873" s="36"/>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6"/>
      <c r="M874" s="36"/>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6"/>
      <c r="M875" s="36"/>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6"/>
      <c r="M876" s="36"/>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6"/>
      <c r="M877" s="36"/>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6"/>
      <c r="M878" s="36"/>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6"/>
      <c r="M879" s="36"/>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6"/>
      <c r="M880" s="36"/>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6"/>
      <c r="M881" s="36"/>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6"/>
      <c r="M882" s="36"/>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6"/>
      <c r="M883" s="36"/>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6"/>
      <c r="M884" s="36"/>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6"/>
      <c r="M885" s="36"/>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6"/>
      <c r="M886" s="36"/>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6"/>
      <c r="M887" s="36"/>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6"/>
      <c r="M888" s="36"/>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6"/>
      <c r="M889" s="36"/>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6"/>
      <c r="M890" s="36"/>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6"/>
      <c r="M891" s="36"/>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6"/>
      <c r="M892" s="36"/>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6"/>
      <c r="M893" s="36"/>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6"/>
      <c r="M894" s="36"/>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6"/>
      <c r="M895" s="36"/>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6"/>
      <c r="M896" s="36"/>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6"/>
      <c r="M897" s="36"/>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6"/>
      <c r="M898" s="36"/>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6"/>
      <c r="M899" s="36"/>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6"/>
      <c r="M900" s="36"/>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6"/>
      <c r="M901" s="36"/>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6"/>
      <c r="M902" s="36"/>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6"/>
      <c r="M903" s="36"/>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6"/>
      <c r="M904" s="36"/>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6"/>
      <c r="M905" s="36"/>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6"/>
      <c r="M906" s="36"/>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6"/>
      <c r="M907" s="36"/>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6"/>
      <c r="M908" s="36"/>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6"/>
      <c r="M909" s="36"/>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6"/>
      <c r="M910" s="36"/>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6"/>
      <c r="M911" s="36"/>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6"/>
      <c r="M912" s="36"/>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6"/>
      <c r="M913" s="36"/>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6"/>
      <c r="M914" s="36"/>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6"/>
      <c r="M915" s="36"/>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6"/>
      <c r="M916" s="36"/>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6"/>
      <c r="M917" s="36"/>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6"/>
      <c r="M918" s="36"/>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6"/>
      <c r="M919" s="36"/>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6"/>
      <c r="M920" s="36"/>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6"/>
      <c r="M921" s="36"/>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6"/>
      <c r="M922" s="36"/>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6"/>
      <c r="M923" s="36"/>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6"/>
      <c r="M924" s="36"/>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6"/>
      <c r="M925" s="36"/>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6"/>
      <c r="M926" s="36"/>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6"/>
      <c r="M927" s="36"/>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6"/>
      <c r="M928" s="36"/>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6"/>
      <c r="M929" s="36"/>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6"/>
      <c r="M930" s="36"/>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6"/>
      <c r="M931" s="36"/>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6"/>
      <c r="M932" s="36"/>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6"/>
      <c r="M933" s="36"/>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6"/>
      <c r="M934" s="36"/>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6"/>
      <c r="M935" s="36"/>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6"/>
      <c r="M936" s="36"/>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6"/>
      <c r="M937" s="36"/>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6"/>
      <c r="M938" s="36"/>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6"/>
      <c r="M939" s="36"/>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6"/>
      <c r="M940" s="36"/>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6"/>
      <c r="M941" s="36"/>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6"/>
      <c r="M942" s="36"/>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6"/>
      <c r="M943" s="36"/>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6"/>
      <c r="M944" s="36"/>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6"/>
      <c r="M945" s="36"/>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6"/>
      <c r="M946" s="36"/>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6"/>
      <c r="M947" s="36"/>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6"/>
      <c r="M948" s="36"/>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6"/>
      <c r="M949" s="36"/>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6"/>
      <c r="M950" s="36"/>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6"/>
      <c r="M951" s="36"/>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6"/>
      <c r="M952" s="36"/>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6"/>
      <c r="M953" s="36"/>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6"/>
      <c r="M954" s="36"/>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6"/>
      <c r="M955" s="36"/>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6"/>
      <c r="M956" s="36"/>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6"/>
      <c r="M957" s="36"/>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6"/>
      <c r="M958" s="36"/>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6"/>
      <c r="M959" s="36"/>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6"/>
      <c r="M960" s="36"/>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6"/>
      <c r="M961" s="36"/>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6"/>
      <c r="M962" s="36"/>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6"/>
      <c r="M963" s="36"/>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6"/>
      <c r="M964" s="36"/>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6"/>
      <c r="M965" s="36"/>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6"/>
      <c r="M966" s="36"/>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6"/>
      <c r="M967" s="36"/>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6"/>
      <c r="M968" s="36"/>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6"/>
      <c r="M969" s="36"/>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6"/>
      <c r="M970" s="36"/>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6"/>
      <c r="M971" s="36"/>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6"/>
      <c r="M972" s="36"/>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6"/>
      <c r="M973" s="36"/>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6"/>
      <c r="M974" s="36"/>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6"/>
      <c r="M975" s="36"/>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6"/>
      <c r="M976" s="36"/>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6"/>
      <c r="M977" s="36"/>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6"/>
      <c r="M978" s="36"/>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6"/>
      <c r="M979" s="36"/>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6"/>
      <c r="M980" s="36"/>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6"/>
      <c r="M981" s="36"/>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6"/>
      <c r="M982" s="36"/>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6"/>
      <c r="M983" s="36"/>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6"/>
      <c r="M984" s="36"/>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6"/>
      <c r="M985" s="36"/>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6"/>
      <c r="M986" s="36"/>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6"/>
      <c r="M987" s="36"/>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6"/>
      <c r="M988" s="36"/>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6"/>
      <c r="M989" s="36"/>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6"/>
      <c r="M990" s="36"/>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6"/>
      <c r="M991" s="36"/>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6"/>
      <c r="M992" s="36"/>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6"/>
      <c r="M993" s="36"/>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6"/>
      <c r="M994" s="36"/>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6"/>
      <c r="M995" s="36"/>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6"/>
      <c r="M996" s="36"/>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6"/>
      <c r="M997" s="36"/>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6"/>
      <c r="M998" s="36"/>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6"/>
      <c r="M999" s="36"/>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6"/>
      <c r="M1000" s="36"/>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6"/>
      <c r="M1001" s="36"/>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6"/>
      <c r="M1002" s="36"/>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6"/>
      <c r="M1003" s="36"/>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6"/>
      <c r="M1004" s="36"/>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6"/>
      <c r="M1005" s="36"/>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6"/>
      <c r="M1006" s="36"/>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6"/>
      <c r="M1007" s="36"/>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6"/>
      <c r="M1008" s="36"/>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6"/>
      <c r="M1009" s="36"/>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6"/>
      <c r="M1010" s="36"/>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6"/>
      <c r="M1011" s="36"/>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6"/>
      <c r="M1012" s="36"/>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6"/>
      <c r="M1013" s="36"/>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6"/>
      <c r="M1014" s="36"/>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6"/>
      <c r="M1015" s="36"/>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6"/>
      <c r="M1016" s="36"/>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6"/>
      <c r="M1017" s="36"/>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6"/>
      <c r="M1018" s="36"/>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6"/>
      <c r="M1019" s="36"/>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6"/>
      <c r="M1020" s="36"/>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6"/>
      <c r="M1021" s="36"/>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6"/>
      <c r="M1022" s="36"/>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6"/>
      <c r="M1023" s="36"/>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6"/>
      <c r="M1024" s="36"/>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6"/>
      <c r="M1025" s="36"/>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6"/>
      <c r="M1026" s="36"/>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6"/>
      <c r="M1027" s="36"/>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6"/>
      <c r="M1028" s="36"/>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6"/>
      <c r="M1029" s="36"/>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6"/>
      <c r="M1030" s="36"/>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6"/>
      <c r="M1031" s="36"/>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6"/>
      <c r="M1032" s="36"/>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6"/>
      <c r="M1033" s="36"/>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6"/>
      <c r="M1034" s="36"/>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6"/>
      <c r="M1035" s="36"/>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6"/>
      <c r="M1036" s="36"/>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6"/>
      <c r="M1037" s="36"/>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6"/>
      <c r="M1038" s="36"/>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6"/>
      <c r="M1039" s="36"/>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6"/>
      <c r="M1040" s="36"/>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6"/>
      <c r="M1041" s="36"/>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6"/>
      <c r="M1042" s="36"/>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6"/>
      <c r="M1043" s="36"/>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6"/>
      <c r="M1044" s="36"/>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6"/>
      <c r="M1045" s="36"/>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6"/>
      <c r="M1046" s="36"/>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6"/>
      <c r="M1047" s="36"/>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6"/>
      <c r="M1048" s="36"/>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6"/>
      <c r="M1049" s="36"/>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6"/>
      <c r="M1050" s="36"/>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6"/>
      <c r="M1051" s="36"/>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6"/>
      <c r="M1052" s="36"/>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6"/>
      <c r="M1053" s="36"/>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6"/>
      <c r="M1054" s="36"/>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6"/>
      <c r="M1055" s="36"/>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6"/>
      <c r="M1056" s="36"/>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6"/>
      <c r="M1057" s="36"/>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6"/>
      <c r="M1058" s="36"/>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6"/>
      <c r="M1059" s="36"/>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6"/>
      <c r="M1060" s="36"/>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6"/>
      <c r="M1061" s="36"/>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6"/>
      <c r="M1062" s="36"/>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6"/>
      <c r="M1063" s="36"/>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6"/>
      <c r="M1064" s="36"/>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6"/>
      <c r="M1065" s="36"/>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6"/>
      <c r="M1066" s="36"/>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6"/>
      <c r="M1067" s="36"/>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6"/>
      <c r="M1068" s="36"/>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6"/>
      <c r="M1069" s="36"/>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6"/>
      <c r="M1070" s="36"/>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6"/>
      <c r="M1071" s="36"/>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6"/>
      <c r="M1072" s="36"/>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6"/>
      <c r="M1073" s="36"/>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6"/>
      <c r="M1074" s="36"/>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6"/>
      <c r="M1075" s="36"/>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6"/>
      <c r="M1076" s="36"/>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6"/>
      <c r="M1077" s="36"/>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6"/>
      <c r="M1078" s="36"/>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6"/>
      <c r="M1079" s="36"/>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6"/>
      <c r="M1080" s="36"/>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6"/>
      <c r="M1081" s="36"/>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6"/>
      <c r="M1082" s="36"/>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6"/>
      <c r="M1083" s="36"/>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6"/>
      <c r="M1084" s="36"/>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6"/>
      <c r="M1085" s="36"/>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6"/>
      <c r="M1086" s="36"/>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6"/>
      <c r="M1087" s="36"/>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6"/>
      <c r="M1088" s="36"/>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6"/>
      <c r="M1089" s="36"/>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6"/>
      <c r="M1090" s="36"/>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6"/>
      <c r="M1091" s="36"/>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6"/>
      <c r="M1092" s="36"/>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6"/>
      <c r="M1093" s="36"/>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6"/>
      <c r="M1094" s="36"/>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6"/>
      <c r="M1095" s="36"/>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6"/>
      <c r="M1096" s="36"/>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6"/>
      <c r="M1097" s="36"/>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6"/>
      <c r="M1098" s="36"/>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6"/>
      <c r="M1099" s="36"/>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6"/>
      <c r="M1100" s="36"/>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6"/>
      <c r="M1101" s="36"/>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6"/>
      <c r="M1102" s="36"/>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6"/>
      <c r="M1103" s="36"/>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6"/>
      <c r="M1104" s="36"/>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6"/>
      <c r="M1105" s="36"/>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6"/>
      <c r="M1106" s="36"/>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6"/>
      <c r="M1107" s="36"/>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6"/>
      <c r="M1108" s="36"/>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6"/>
      <c r="M1109" s="36"/>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6"/>
      <c r="M1110" s="36"/>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6"/>
      <c r="M1111" s="36"/>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6"/>
      <c r="M1112" s="36"/>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6"/>
      <c r="M1113" s="36"/>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6"/>
      <c r="M1114" s="36"/>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6"/>
      <c r="M1115" s="36"/>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6"/>
      <c r="M1116" s="36"/>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6"/>
      <c r="M1117" s="36"/>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6"/>
      <c r="M1118" s="36"/>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6"/>
      <c r="M1119" s="36"/>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6"/>
      <c r="M1120" s="36"/>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6"/>
      <c r="M1121" s="36"/>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6"/>
      <c r="M1122" s="36"/>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6"/>
      <c r="M1123" s="36"/>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6"/>
      <c r="M1124" s="36"/>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6"/>
      <c r="M1125" s="36"/>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6"/>
      <c r="M1126" s="36"/>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6"/>
      <c r="M1127" s="36"/>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6"/>
      <c r="M1128" s="36"/>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6"/>
      <c r="M1129" s="36"/>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6"/>
      <c r="M1130" s="36"/>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6"/>
      <c r="M1131" s="36"/>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6"/>
      <c r="M1132" s="36"/>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6"/>
      <c r="M1133" s="36"/>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6"/>
      <c r="M1134" s="36"/>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6"/>
      <c r="M1135" s="36"/>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6"/>
      <c r="M1136" s="36"/>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6"/>
      <c r="M1137" s="36"/>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6"/>
      <c r="M1138" s="36"/>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6"/>
      <c r="M1139" s="36"/>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6"/>
      <c r="M1140" s="36"/>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6"/>
      <c r="M1141" s="36"/>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6"/>
      <c r="M1142" s="36"/>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6"/>
      <c r="M1143" s="36"/>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6"/>
      <c r="M1144" s="36"/>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6"/>
      <c r="M1145" s="36"/>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6"/>
      <c r="M1146" s="36"/>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6"/>
      <c r="M1147" s="36"/>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6"/>
      <c r="M1148" s="36"/>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6"/>
      <c r="M1149" s="36"/>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6"/>
      <c r="M1150" s="36"/>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6"/>
      <c r="M1151" s="36"/>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6"/>
      <c r="M1152" s="36"/>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6"/>
      <c r="M1153" s="36"/>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6"/>
      <c r="M1154" s="36"/>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6"/>
      <c r="M1155" s="36"/>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6"/>
      <c r="M1156" s="36"/>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6"/>
      <c r="M1157" s="36"/>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6"/>
      <c r="M1158" s="36"/>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6"/>
      <c r="M1159" s="36"/>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6"/>
      <c r="M1160" s="36"/>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6"/>
      <c r="M1161" s="36"/>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6"/>
      <c r="M1162" s="36"/>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6"/>
      <c r="M1163" s="36"/>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6"/>
      <c r="M1164" s="36"/>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6"/>
      <c r="M1165" s="36"/>
      <c r="N1165" s="39"/>
      <c r="O1165" s="39"/>
      <c r="P1165" s="39"/>
      <c r="Q1165" s="39"/>
      <c r="R1165" s="39"/>
      <c r="S1165" s="39"/>
      <c r="T1165" s="39"/>
      <c r="U1165" s="39"/>
      <c r="V1165" s="39"/>
      <c r="W1165" s="39"/>
      <c r="X1165" s="39"/>
      <c r="Y1165" s="39"/>
      <c r="Z1165" s="39"/>
      <c r="AA1165" s="39"/>
      <c r="AB1165" s="39"/>
    </row>
  </sheetData>
  <hyperlinks>
    <hyperlink r:id="rId1" ref="D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s>
  <sheetData>
    <row r="1">
      <c r="A1" s="1"/>
      <c r="B1" s="2"/>
      <c r="C1" s="1"/>
      <c r="D1" s="40" t="s">
        <v>452</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453</v>
      </c>
      <c r="E4" s="12"/>
      <c r="F4" s="10"/>
      <c r="G4" s="12"/>
      <c r="H4" s="13"/>
      <c r="I4" s="1"/>
      <c r="J4" s="9"/>
      <c r="K4" s="5"/>
      <c r="L4" s="6"/>
      <c r="M4" s="6"/>
      <c r="N4" s="6"/>
      <c r="O4" s="6"/>
      <c r="P4" s="6"/>
      <c r="Q4" s="6"/>
      <c r="R4" s="6"/>
      <c r="S4" s="6"/>
      <c r="T4" s="6"/>
      <c r="U4" s="6"/>
      <c r="V4" s="6"/>
      <c r="W4" s="6"/>
      <c r="X4" s="6"/>
      <c r="Y4" s="6"/>
      <c r="Z4" s="6"/>
      <c r="AA4" s="6"/>
      <c r="AB4" s="6"/>
    </row>
    <row r="5">
      <c r="A5" s="1"/>
      <c r="B5" s="10"/>
      <c r="C5" s="14"/>
      <c r="D5" s="15" t="s">
        <v>6</v>
      </c>
      <c r="E5" s="16"/>
      <c r="F5" s="10"/>
      <c r="G5" s="12"/>
      <c r="H5" s="13"/>
      <c r="I5" s="1"/>
      <c r="J5" s="9" t="s">
        <v>454</v>
      </c>
      <c r="K5" s="5"/>
      <c r="L5" s="6"/>
      <c r="M5" s="6"/>
      <c r="N5" s="6"/>
      <c r="O5" s="6"/>
      <c r="P5" s="6"/>
      <c r="Q5" s="6"/>
      <c r="R5" s="6"/>
      <c r="S5" s="6"/>
      <c r="T5" s="6"/>
      <c r="U5" s="6"/>
      <c r="V5" s="6"/>
      <c r="W5" s="6"/>
      <c r="X5" s="6"/>
      <c r="Y5" s="6"/>
      <c r="Z5" s="6"/>
      <c r="AA5" s="6"/>
      <c r="AB5" s="6"/>
    </row>
    <row r="6">
      <c r="A6" s="1"/>
      <c r="B6" s="10"/>
      <c r="C6" s="10"/>
      <c r="D6" s="10"/>
      <c r="E6" s="12"/>
      <c r="F6" s="10"/>
      <c r="G6" s="12"/>
      <c r="H6" s="13"/>
      <c r="I6" s="1"/>
      <c r="J6" s="9"/>
      <c r="K6" s="5"/>
      <c r="L6" s="6"/>
      <c r="M6" s="6"/>
      <c r="N6" s="6"/>
      <c r="O6" s="6"/>
      <c r="P6" s="6"/>
      <c r="Q6" s="6"/>
      <c r="R6" s="6"/>
      <c r="S6" s="6"/>
      <c r="T6" s="6"/>
      <c r="U6" s="6"/>
      <c r="V6" s="6"/>
      <c r="W6" s="6"/>
      <c r="X6" s="6"/>
      <c r="Y6" s="6"/>
      <c r="Z6" s="6"/>
      <c r="AA6" s="6"/>
      <c r="AB6" s="6"/>
    </row>
    <row r="7">
      <c r="A7" s="17"/>
      <c r="B7" s="18"/>
      <c r="C7" s="18"/>
      <c r="D7" s="18"/>
      <c r="E7" s="18"/>
      <c r="F7" s="18"/>
      <c r="G7" s="18"/>
      <c r="H7" s="18"/>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41" t="s">
        <v>19</v>
      </c>
      <c r="M8" s="20"/>
      <c r="N8" s="20"/>
      <c r="O8" s="20"/>
      <c r="P8" s="20"/>
      <c r="Q8" s="20"/>
      <c r="R8" s="20"/>
      <c r="S8" s="20"/>
      <c r="T8" s="20"/>
      <c r="U8" s="20"/>
      <c r="V8" s="20"/>
      <c r="W8" s="20"/>
      <c r="X8" s="20"/>
      <c r="Y8" s="20"/>
      <c r="Z8" s="20"/>
      <c r="AA8" s="20"/>
      <c r="AB8" s="20"/>
    </row>
    <row r="9">
      <c r="A9" s="21" t="s">
        <v>455</v>
      </c>
      <c r="B9" s="22" t="s">
        <v>456</v>
      </c>
      <c r="C9" s="23" t="str">
        <f>IFERROR(__xludf.DUMMYFUNCTION("GOOGLETRANSLATE(B9, ""en"", ""fr"")"),"Exp Orb: mêlée")</f>
        <v>Exp Orb: mêlée</v>
      </c>
      <c r="D9" s="23" t="str">
        <f>IFERROR(__xludf.DUMMYFUNCTION("GOOGLETRANSLATE(B9, ""en"", ""es"")"),"Exp orb: cuerpo a cuerpo")</f>
        <v>Exp orb: cuerpo a cuerpo</v>
      </c>
      <c r="E9" s="23" t="s">
        <v>457</v>
      </c>
      <c r="F9" s="23" t="str">
        <f>IFERROR(__xludf.DUMMYFUNCTION("GOOGLETRANSLATE(B9, ""en"", ""tr"")"),"Exp Orb: Yakın Dövüş")</f>
        <v>Exp Orb: Yakın Dövüş</v>
      </c>
      <c r="G9" s="23" t="str">
        <f>IFERROR(__xludf.DUMMYFUNCTION("GOOGLETRANSLATE(B9, ""en"", ""pt"")"),"Exp Orb: corpo a corpo")</f>
        <v>Exp Orb: corpo a corpo</v>
      </c>
      <c r="H9" s="24" t="str">
        <f>IFERROR(__xludf.DUMMYFUNCTION("GOOGLETRANSLATE(B9, ""en"", ""de"")"),"Exp Orb: Nahkampf")</f>
        <v>Exp Orb: Nahkampf</v>
      </c>
      <c r="I9" s="23" t="str">
        <f>IFERROR(__xludf.DUMMYFUNCTION("GOOGLETRANSLATE(B9, ""en"", ""pl"")"),"Exp Orb: walka w zwarciu")</f>
        <v>Exp Orb: walka w zwarciu</v>
      </c>
      <c r="J9" s="25" t="str">
        <f>IFERROR(__xludf.DUMMYFUNCTION("GOOGLETRANSLATE(B9, ""en"", ""zh"")"),"Exp Orb：近战")</f>
        <v>Exp Orb：近战</v>
      </c>
      <c r="K9" s="25" t="str">
        <f>IFERROR(__xludf.DUMMYFUNCTION("GOOGLETRANSLATE(B9, ""en"", ""vi"")"),"Exp orb: Melee")</f>
        <v>Exp orb: Melee</v>
      </c>
      <c r="L9" s="42" t="str">
        <f>IFERROR(__xludf.DUMMYFUNCTION("GOOGLETRANSLATE(B9, ""en"", ""hr"")"),"Exp Orb: Melee")</f>
        <v>Exp Orb: Melee</v>
      </c>
      <c r="M9" s="26"/>
      <c r="N9" s="26"/>
      <c r="O9" s="26"/>
      <c r="P9" s="26"/>
      <c r="Q9" s="26"/>
      <c r="R9" s="26"/>
      <c r="S9" s="26"/>
      <c r="T9" s="26"/>
      <c r="U9" s="26"/>
      <c r="V9" s="26"/>
      <c r="W9" s="26"/>
      <c r="X9" s="26"/>
      <c r="Y9" s="26"/>
      <c r="Z9" s="26"/>
      <c r="AA9" s="26"/>
      <c r="AB9" s="26"/>
    </row>
    <row r="10">
      <c r="A10" s="21" t="s">
        <v>458</v>
      </c>
      <c r="B10" s="22" t="s">
        <v>459</v>
      </c>
      <c r="C10" s="23" t="str">
        <f>IFERROR(__xludf.DUMMYFUNCTION("GOOGLETRANSLATE(B10, ""en"", ""fr"")"),"Donne beaucoup de statistiques de mêlée Exp lorsqu'ils sont utilisés.")</f>
        <v>Donne beaucoup de statistiques de mêlée Exp lorsqu'ils sont utilisés.</v>
      </c>
      <c r="D10" s="23" t="str">
        <f>IFERROR(__xludf.DUMMYFUNCTION("GOOGLETRANSLATE(B10, ""en"", ""es"")"),"Da muchas estadísticas cuerpo a cuerpo cuando se usa.")</f>
        <v>Da muchas estadísticas cuerpo a cuerpo cuando se usa.</v>
      </c>
      <c r="E10" s="23" t="s">
        <v>460</v>
      </c>
      <c r="F10" s="23" t="str">
        <f>IFERROR(__xludf.DUMMYFUNCTION("GOOGLETRANSLATE(B10, ""en"", ""tr"")"),"Kullanıldığında çok fazla yakın dövüş stat exp verir.")</f>
        <v>Kullanıldığında çok fazla yakın dövüş stat exp verir.</v>
      </c>
      <c r="G10" s="23" t="str">
        <f>IFERROR(__xludf.DUMMYFUNCTION("GOOGLETRANSLATE(B10, ""en"", ""pt"")"),"Dá muitos estatísticos corpo a corpo quando usados.")</f>
        <v>Dá muitos estatísticos corpo a corpo quando usados.</v>
      </c>
      <c r="H10" s="24" t="str">
        <f>IFERROR(__xludf.DUMMYFUNCTION("GOOGLETRANSLATE(B10, ""en"", ""de"")"),"Gibt bei Verwendung viel Exp -Nahkampf -STAT -Exp.")</f>
        <v>Gibt bei Verwendung viel Exp -Nahkampf -STAT -Exp.</v>
      </c>
      <c r="I10" s="23" t="str">
        <f>IFERROR(__xludf.DUMMYFUNCTION("GOOGLETRANSLATE(B10, ""en"", ""pl"")"),"Daje wiele statystyk w zwarciu, gdy jest używany.")</f>
        <v>Daje wiele statystyk w zwarciu, gdy jest używany.</v>
      </c>
      <c r="J10" s="25" t="str">
        <f>IFERROR(__xludf.DUMMYFUNCTION("GOOGLETRANSLATE(B10, ""en"", ""zh"")"),"使用时会提供大量的近战STAT经验。")</f>
        <v>使用时会提供大量的近战STAT经验。</v>
      </c>
      <c r="K10" s="25" t="str">
        <f>IFERROR(__xludf.DUMMYFUNCTION("GOOGLETRANSLATE(B10, ""en"", ""vi"")"),"Cung cấp rất nhiều Melee Stat exp khi được sử dụng.")</f>
        <v>Cung cấp rất nhiều Melee Stat exp khi được sử dụng.</v>
      </c>
      <c r="L10" s="42" t="str">
        <f>IFERROR(__xludf.DUMMYFUNCTION("GOOGLETRANSLATE(B10, ""en"", ""hr"")"),"Daje puno melee stat exp kada se koristi.")</f>
        <v>Daje puno melee stat exp kada se koristi.</v>
      </c>
      <c r="M10" s="26"/>
      <c r="N10" s="26"/>
      <c r="O10" s="26"/>
      <c r="P10" s="26"/>
      <c r="Q10" s="26"/>
      <c r="R10" s="26"/>
      <c r="S10" s="26"/>
      <c r="T10" s="26"/>
      <c r="U10" s="26"/>
      <c r="V10" s="26"/>
      <c r="W10" s="26"/>
      <c r="X10" s="26"/>
      <c r="Y10" s="26"/>
      <c r="Z10" s="26"/>
      <c r="AA10" s="26"/>
      <c r="AB10" s="26"/>
    </row>
    <row r="11">
      <c r="A11" s="21" t="s">
        <v>461</v>
      </c>
      <c r="B11" s="22" t="s">
        <v>462</v>
      </c>
      <c r="C11" s="23" t="str">
        <f>IFERROR(__xludf.DUMMYFUNCTION("GOOGLETRANSLATE(B11, ""en"", ""fr"")"),"Exp Orb: à distance")</f>
        <v>Exp Orb: à distance</v>
      </c>
      <c r="D11" s="23" t="str">
        <f>IFERROR(__xludf.DUMMYFUNCTION("GOOGLETRANSLATE(B11, ""en"", ""es"")"),"Exp orb: a distancia")</f>
        <v>Exp orb: a distancia</v>
      </c>
      <c r="E11" s="23" t="s">
        <v>463</v>
      </c>
      <c r="F11" s="23" t="str">
        <f>IFERROR(__xludf.DUMMYFUNCTION("GOOGLETRANSLATE(B11, ""en"", ""tr"")"),"Exp Orb: Ranged")</f>
        <v>Exp Orb: Ranged</v>
      </c>
      <c r="G11" s="23" t="str">
        <f>IFERROR(__xludf.DUMMYFUNCTION("GOOGLETRANSLATE(B11, ""en"", ""pt"")"),"Exp Orb: à distância")</f>
        <v>Exp Orb: à distância</v>
      </c>
      <c r="H11" s="24" t="str">
        <f>IFERROR(__xludf.DUMMYFUNCTION("GOOGLETRANSLATE(B11, ""en"", ""de"")"),"Exp orb: Fernkampf")</f>
        <v>Exp orb: Fernkampf</v>
      </c>
      <c r="I11" s="23" t="str">
        <f>IFERROR(__xludf.DUMMYFUNCTION("GOOGLETRANSLATE(B11, ""en"", ""pl"")"),"Exp ORB: Dystans")</f>
        <v>Exp ORB: Dystans</v>
      </c>
      <c r="J11" s="25" t="str">
        <f>IFERROR(__xludf.DUMMYFUNCTION("GOOGLETRANSLATE(B11, ""en"", ""zh"")"),"exp orb：远程")</f>
        <v>exp orb：远程</v>
      </c>
      <c r="K11" s="25" t="str">
        <f>IFERROR(__xludf.DUMMYFUNCTION("GOOGLETRANSLATE(B11, ""en"", ""vi"")"),"Exp orb: tầm xa")</f>
        <v>Exp orb: tầm xa</v>
      </c>
      <c r="L11" s="42" t="str">
        <f>IFERROR(__xludf.DUMMYFUNCTION("GOOGLETRANSLATE(B11, ""en"", ""hr"")"),"Exp Orb: raspon")</f>
        <v>Exp Orb: raspon</v>
      </c>
      <c r="M11" s="26"/>
      <c r="N11" s="26"/>
      <c r="O11" s="26"/>
      <c r="P11" s="26"/>
      <c r="Q11" s="26"/>
      <c r="R11" s="26"/>
      <c r="S11" s="26"/>
      <c r="T11" s="26"/>
      <c r="U11" s="26"/>
      <c r="V11" s="26"/>
      <c r="W11" s="26"/>
      <c r="X11" s="26"/>
      <c r="Y11" s="26"/>
      <c r="Z11" s="26"/>
      <c r="AA11" s="26"/>
      <c r="AB11" s="26"/>
    </row>
    <row r="12">
      <c r="A12" s="21" t="s">
        <v>464</v>
      </c>
      <c r="B12" s="22" t="s">
        <v>465</v>
      </c>
      <c r="C12" s="23" t="str">
        <f>IFERROR(__xludf.DUMMYFUNCTION("GOOGLETRANSLATE(B12, ""en"", ""fr"")"),"Donne beaucoup d'exp de STAT à distance lorsqu'il est utilisé.")</f>
        <v>Donne beaucoup d'exp de STAT à distance lorsqu'il est utilisé.</v>
      </c>
      <c r="D12" s="23" t="str">
        <f>IFERROR(__xludf.DUMMYFUNCTION("GOOGLETRANSLATE(B12, ""en"", ""es"")"),"Da muchas estadísticas a distancia cuando se usa.")</f>
        <v>Da muchas estadísticas a distancia cuando se usa.</v>
      </c>
      <c r="E12" s="23" t="s">
        <v>466</v>
      </c>
      <c r="F12" s="23" t="str">
        <f>IFERROR(__xludf.DUMMYFUNCTION("GOOGLETRANSLATE(B12, ""en"", ""tr"")"),"Kullanıldığında çok fazla menzilli stat exp verir.")</f>
        <v>Kullanıldığında çok fazla menzilli stat exp verir.</v>
      </c>
      <c r="G12" s="23" t="str">
        <f>IFERROR(__xludf.DUMMYFUNCTION("GOOGLETRANSLATE(B12, ""en"", ""pt"")"),"Dá muito Stat Exp à distância quando usado.")</f>
        <v>Dá muito Stat Exp à distância quando usado.</v>
      </c>
      <c r="H12" s="24" t="str">
        <f>IFERROR(__xludf.DUMMYFUNCTION("GOOGLETRANSLATE(B12, ""en"", ""de"")"),"Gibt bei Verwendung viele Fernkampfstat -Exp.")</f>
        <v>Gibt bei Verwendung viele Fernkampfstat -Exp.</v>
      </c>
      <c r="I12" s="23" t="str">
        <f>IFERROR(__xludf.DUMMYFUNCTION("GOOGLETRANSLATE(B12, ""en"", ""pl"")"),"Daje wiele dystansów EXP, gdy jest używany.")</f>
        <v>Daje wiele dystansów EXP, gdy jest używany.</v>
      </c>
      <c r="J12" s="25" t="str">
        <f>IFERROR(__xludf.DUMMYFUNCTION("GOOGLETRANSLATE(B12, ""en"", ""zh"")"),"使用时给出大量远程STAT EXP。")</f>
        <v>使用时给出大量远程STAT EXP。</v>
      </c>
      <c r="K12" s="25" t="str">
        <f>IFERROR(__xludf.DUMMYFUNCTION("GOOGLETRANSLATE(B12, ""en"", ""vi"")"),"Cung cấp rất nhiều EXP Stat Ranged khi được sử dụng.")</f>
        <v>Cung cấp rất nhiều EXP Stat Ranged khi được sử dụng.</v>
      </c>
      <c r="L12" s="42" t="str">
        <f>IFERROR(__xludf.DUMMYFUNCTION("GOOGLETRANSLATE(B12, ""en"", ""hr"")"),"Daje puno raspona STAT EXP -a kada se koristi.")</f>
        <v>Daje puno raspona STAT EXP -a kada se koristi.</v>
      </c>
      <c r="M12" s="26"/>
      <c r="N12" s="26"/>
      <c r="O12" s="26"/>
      <c r="P12" s="26"/>
      <c r="Q12" s="26"/>
      <c r="R12" s="26"/>
      <c r="S12" s="26"/>
      <c r="T12" s="26"/>
      <c r="U12" s="26"/>
      <c r="V12" s="26"/>
      <c r="W12" s="26"/>
      <c r="X12" s="26"/>
      <c r="Y12" s="26"/>
      <c r="Z12" s="26"/>
      <c r="AA12" s="26"/>
      <c r="AB12" s="26"/>
    </row>
    <row r="13">
      <c r="A13" s="21" t="s">
        <v>467</v>
      </c>
      <c r="B13" s="22" t="s">
        <v>468</v>
      </c>
      <c r="C13" s="23" t="str">
        <f>IFERROR(__xludf.DUMMYFUNCTION("GOOGLETRANSLATE(B13, ""en"", ""fr"")"),"Exp orb: magie")</f>
        <v>Exp orb: magie</v>
      </c>
      <c r="D13" s="23" t="str">
        <f>IFERROR(__xludf.DUMMYFUNCTION("GOOGLETRANSLATE(B13, ""en"", ""es"")"),"Exp Orb: Magic")</f>
        <v>Exp Orb: Magic</v>
      </c>
      <c r="E13" s="23" t="s">
        <v>469</v>
      </c>
      <c r="F13" s="23" t="str">
        <f>IFERROR(__xludf.DUMMYFUNCTION("GOOGLETRANSLATE(B13, ""en"", ""tr"")"),"Exp Orb: Sihir")</f>
        <v>Exp Orb: Sihir</v>
      </c>
      <c r="G13" s="23" t="str">
        <f>IFERROR(__xludf.DUMMYFUNCTION("GOOGLETRANSLATE(B13, ""en"", ""pt"")"),"Exp Orb: Magic")</f>
        <v>Exp Orb: Magic</v>
      </c>
      <c r="H13" s="24" t="str">
        <f>IFERROR(__xludf.DUMMYFUNCTION("GOOGLETRANSLATE(B13, ""en"", ""de"")"),"Exp Orb: Magie")</f>
        <v>Exp Orb: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42" t="str">
        <f>IFERROR(__xludf.DUMMYFUNCTION("GOOGLETRANSLATE(B13, ""en"", ""hr"")"),"Exp Orb: Magic")</f>
        <v>Exp Orb: Magic</v>
      </c>
      <c r="M13" s="26"/>
      <c r="N13" s="26"/>
      <c r="O13" s="26"/>
      <c r="P13" s="26"/>
      <c r="Q13" s="26"/>
      <c r="R13" s="26"/>
      <c r="S13" s="26"/>
      <c r="T13" s="26"/>
      <c r="U13" s="26"/>
      <c r="V13" s="26"/>
      <c r="W13" s="26"/>
      <c r="X13" s="26"/>
      <c r="Y13" s="26"/>
      <c r="Z13" s="26"/>
      <c r="AA13" s="26"/>
      <c r="AB13" s="26"/>
    </row>
    <row r="14">
      <c r="A14" s="21" t="s">
        <v>470</v>
      </c>
      <c r="B14" s="22" t="s">
        <v>471</v>
      </c>
      <c r="C14" s="23" t="str">
        <f>IFERROR(__xludf.DUMMYFUNCTION("GOOGLETRANSLATE(B14, ""en"", ""fr"")"),"Donne beaucoup de statistiques magiques Exp lorsqu'ils sont utilisés.")</f>
        <v>Donne beaucoup de statistiques magiques Exp lorsqu'ils sont utilisés.</v>
      </c>
      <c r="D14" s="23" t="str">
        <f>IFERROR(__xludf.DUMMYFUNCTION("GOOGLETRANSLATE(B14, ""en"", ""es"")"),"Da muchas estadísticas mágicas EXP cuando se usa.")</f>
        <v>Da muchas estadísticas mágicas EXP cuando se usa.</v>
      </c>
      <c r="E14" s="23" t="s">
        <v>472</v>
      </c>
      <c r="F14" s="23" t="str">
        <f>IFERROR(__xludf.DUMMYFUNCTION("GOOGLETRANSLATE(B14, ""en"", ""tr"")"),"Kullanıldığında çok fazla sihirli stat exp verir.")</f>
        <v>Kullanıldığında çok fazla sihirli stat exp verir.</v>
      </c>
      <c r="G14" s="23" t="str">
        <f>IFERROR(__xludf.DUMMYFUNCTION("GOOGLETRANSLATE(B14, ""en"", ""pt"")"),"Dá muito Stat Magic Stat quando usado.")</f>
        <v>Dá muito Stat Magic Stat quando usado.</v>
      </c>
      <c r="H14" s="24" t="str">
        <f>IFERROR(__xludf.DUMMYFUNCTION("GOOGLETRANSLATE(B14, ""en"", ""de"")"),"Gibt bei Verwendung viel magischer STAT -Exp.")</f>
        <v>Gibt bei Verwendung viel magischer STAT -Exp.</v>
      </c>
      <c r="I14" s="23" t="str">
        <f>IFERROR(__xludf.DUMMYFUNCTION("GOOGLETRANSLATE(B14, ""en"", ""pl"")"),"Daje dużo magicznych statystyk, gdy jest używany.")</f>
        <v>Daje dużo magicznych statystyk, gdy jest używany.</v>
      </c>
      <c r="J14" s="25" t="str">
        <f>IFERROR(__xludf.DUMMYFUNCTION("GOOGLETRANSLATE(B14, ""en"", ""zh"")"),"使用时会提供大量的魔法统计经验。")</f>
        <v>使用时会提供大量的魔法统计经验。</v>
      </c>
      <c r="K14" s="25" t="str">
        <f>IFERROR(__xludf.DUMMYFUNCTION("GOOGLETRANSLATE(B14, ""en"", ""vi"")"),"Cung cấp rất nhiều Magic Stat exp khi được sử dụng.")</f>
        <v>Cung cấp rất nhiều Magic Stat exp khi được sử dụng.</v>
      </c>
      <c r="L14" s="42" t="str">
        <f>IFERROR(__xludf.DUMMYFUNCTION("GOOGLETRANSLATE(B14, ""en"", ""hr"")"),"Daje puno čarobnog stat exp kada se koristi.")</f>
        <v>Daje puno čarobnog stat exp kada se koristi.</v>
      </c>
      <c r="M14" s="26"/>
      <c r="N14" s="26"/>
      <c r="O14" s="26"/>
      <c r="P14" s="26"/>
      <c r="Q14" s="26"/>
      <c r="R14" s="26"/>
      <c r="S14" s="26"/>
      <c r="T14" s="26"/>
      <c r="U14" s="26"/>
      <c r="V14" s="26"/>
      <c r="W14" s="26"/>
      <c r="X14" s="26"/>
      <c r="Y14" s="26"/>
      <c r="Z14" s="26"/>
      <c r="AA14" s="26"/>
      <c r="AB14" s="26"/>
    </row>
    <row r="15">
      <c r="A15" s="21" t="s">
        <v>473</v>
      </c>
      <c r="B15" s="22" t="s">
        <v>474</v>
      </c>
      <c r="C15" s="23" t="str">
        <f>IFERROR(__xludf.DUMMYFUNCTION("GOOGLETRANSLATE(B15, ""en"", ""fr"")"),"Exp orb: rassemblement")</f>
        <v>Exp orb: rassemblement</v>
      </c>
      <c r="D15" s="23" t="str">
        <f>IFERROR(__xludf.DUMMYFUNCTION("GOOGLETRANSLATE(B15, ""en"", ""es"")"),"Exp Orb: Reunión")</f>
        <v>Exp Orb: Reunión</v>
      </c>
      <c r="E15" s="23" t="s">
        <v>475</v>
      </c>
      <c r="F15" s="23" t="str">
        <f>IFERROR(__xludf.DUMMYFUNCTION("GOOGLETRANSLATE(B15, ""en"", ""tr"")"),"Exp Orb: Toplama")</f>
        <v>Exp Orb: Toplama</v>
      </c>
      <c r="G15" s="23" t="str">
        <f>IFERROR(__xludf.DUMMYFUNCTION("GOOGLETRANSLATE(B15, ""en"", ""pt"")"),"Exp Orb: Gathering")</f>
        <v>Exp Orb: Gathering</v>
      </c>
      <c r="H15" s="24" t="str">
        <f>IFERROR(__xludf.DUMMYFUNCTION("GOOGLETRANSLATE(B15, ""en"", ""de"")"),"Exp orb: sammeln")</f>
        <v>Exp orb: sammeln</v>
      </c>
      <c r="I15" s="23" t="str">
        <f>IFERROR(__xludf.DUMMYFUNCTION("GOOGLETRANSLATE(B15, ""en"", ""pl"")"),"Exp Orb: Zbieranie")</f>
        <v>Exp Orb: Zbieranie</v>
      </c>
      <c r="J15" s="25" t="str">
        <f>IFERROR(__xludf.DUMMYFUNCTION("GOOGLETRANSLATE(B15, ""en"", ""zh"")"),"EXP ORB：聚会")</f>
        <v>EXP ORB：聚会</v>
      </c>
      <c r="K15" s="25" t="str">
        <f>IFERROR(__xludf.DUMMYFUNCTION("GOOGLETRANSLATE(B15, ""en"", ""vi"")"),"Exp orb: Thu thập")</f>
        <v>Exp orb: Thu thập</v>
      </c>
      <c r="L15" s="42" t="str">
        <f>IFERROR(__xludf.DUMMYFUNCTION("GOOGLETRANSLATE(B15, ""en"", ""hr"")"),"EXP ORB: Okupljanje")</f>
        <v>EXP ORB: Okupljanje</v>
      </c>
      <c r="M15" s="26"/>
      <c r="N15" s="26"/>
      <c r="O15" s="26"/>
      <c r="P15" s="26"/>
      <c r="Q15" s="26"/>
      <c r="R15" s="26"/>
      <c r="S15" s="26"/>
      <c r="T15" s="26"/>
      <c r="U15" s="26"/>
      <c r="V15" s="26"/>
      <c r="W15" s="26"/>
      <c r="X15" s="26"/>
      <c r="Y15" s="26"/>
      <c r="Z15" s="26"/>
      <c r="AA15" s="26"/>
      <c r="AB15" s="26"/>
    </row>
    <row r="16">
      <c r="A16" s="21" t="s">
        <v>476</v>
      </c>
      <c r="B16" s="22" t="s">
        <v>477</v>
      </c>
      <c r="C16" s="23" t="str">
        <f>IFERROR(__xludf.DUMMYFUNCTION("GOOGLETRANSLATE(B16, ""en"", ""fr"")"),"Donne beaucoup de rassemblement STAT EXP lorsqu'il est utilisé.")</f>
        <v>Donne beaucoup de rassemblement STAT EXP lorsqu'il est utilisé.</v>
      </c>
      <c r="D16" s="23" t="str">
        <f>IFERROR(__xludf.DUMMYFUNCTION("GOOGLETRANSLATE(B16, ""en"", ""es"")"),"Da muchas estadísticas de recopilación EXP cuando se usa.")</f>
        <v>Da muchas estadísticas de recopilación EXP cuando se usa.</v>
      </c>
      <c r="E16" s="23" t="s">
        <v>478</v>
      </c>
      <c r="F16" s="23" t="str">
        <f>IFERROR(__xludf.DUMMYFUNCTION("GOOGLETRANSLATE(B16, ""en"", ""tr"")"),"Kullanıldığında çok sayıda stat exp verir.")</f>
        <v>Kullanıldığında çok sayıda stat exp verir.</v>
      </c>
      <c r="G16" s="23" t="str">
        <f>IFERROR(__xludf.DUMMYFUNCTION("GOOGLETRANSLATE(B16, ""en"", ""pt"")"),"Dá muito o encontro de estatísticas quando usado.")</f>
        <v>Dá muito o encontro de estatísticas quando usado.</v>
      </c>
      <c r="H16" s="24" t="str">
        <f>IFERROR(__xludf.DUMMYFUNCTION("GOOGLETRANSLATE(B16, ""en"", ""de"")"),"Gibt bei Verwendung viel sammelnde STAT -Exp.")</f>
        <v>Gibt bei Verwendung viel sammelnde STAT -Exp.</v>
      </c>
      <c r="I16" s="23" t="str">
        <f>IFERROR(__xludf.DUMMYFUNCTION("GOOGLETRANSLATE(B16, ""en"", ""pl"")"),"Daje dużo gromadzenia statystyk Exp, gdy jest używany.")</f>
        <v>Daje dużo gromadzenia statystyk Exp, gdy jest używany.</v>
      </c>
      <c r="J16" s="25" t="str">
        <f>IFERROR(__xludf.DUMMYFUNCTION("GOOGLETRANSLATE(B16, ""en"", ""zh"")"),"使用时会提供大量的聚集STAT经验。")</f>
        <v>使用时会提供大量的聚集STAT经验。</v>
      </c>
      <c r="K16" s="25" t="str">
        <f>IFERROR(__xludf.DUMMYFUNCTION("GOOGLETRANSLATE(B16, ""en"", ""vi"")"),"Cung cấp rất nhiều tập hợp Stat EXP khi được sử dụng.")</f>
        <v>Cung cấp rất nhiều tập hợp Stat EXP khi được sử dụng.</v>
      </c>
      <c r="L16" s="42" t="str">
        <f>IFERROR(__xludf.DUMMYFUNCTION("GOOGLETRANSLATE(B16, ""en"", ""hr"")"),"Daje puno prikupljanja stat exp kada se koristi.")</f>
        <v>Daje puno prikupljanja stat exp kada se koristi.</v>
      </c>
      <c r="M16" s="26"/>
      <c r="N16" s="26"/>
      <c r="O16" s="26"/>
      <c r="P16" s="26"/>
      <c r="Q16" s="26"/>
      <c r="R16" s="26"/>
      <c r="S16" s="26"/>
      <c r="T16" s="26"/>
      <c r="U16" s="26"/>
      <c r="V16" s="26"/>
      <c r="W16" s="26"/>
      <c r="X16" s="26"/>
      <c r="Y16" s="26"/>
      <c r="Z16" s="26"/>
      <c r="AA16" s="26"/>
      <c r="AB16" s="26"/>
    </row>
    <row r="17">
      <c r="A17" s="21" t="s">
        <v>479</v>
      </c>
      <c r="B17" s="22" t="s">
        <v>480</v>
      </c>
      <c r="C17" s="23" t="str">
        <f>IFERROR(__xludf.DUMMYFUNCTION("GOOGLETRANSLATE(B17, ""en"", ""fr"")"),"Exp orbe: armes")</f>
        <v>Exp orbe: armes</v>
      </c>
      <c r="D17" s="23" t="str">
        <f>IFERROR(__xludf.DUMMYFUNCTION("GOOGLETRANSLATE(B17, ""en"", ""es"")"),"Exp orb: armamento")</f>
        <v>Exp orb: armamento</v>
      </c>
      <c r="E17" s="23" t="s">
        <v>481</v>
      </c>
      <c r="F17" s="23" t="str">
        <f>IFERROR(__xludf.DUMMYFUNCTION("GOOGLETRANSLATE(B17, ""en"", ""tr"")"),"Exp Orb: Silahlar")</f>
        <v>Exp Orb: Silahlar</v>
      </c>
      <c r="G17" s="23" t="str">
        <f>IFERROR(__xludf.DUMMYFUNCTION("GOOGLETRANSLATE(B17, ""en"", ""pt"")"),"Exp Orb: Armamento")</f>
        <v>Exp Orb: Armamento</v>
      </c>
      <c r="H17" s="24" t="str">
        <f>IFERROR(__xludf.DUMMYFUNCTION("GOOGLETRANSLATE(B17, ""en"", ""de"")"),"Exp Orb: Waffe")</f>
        <v>Exp Orb: Waffe</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42" t="str">
        <f>IFERROR(__xludf.DUMMYFUNCTION("GOOGLETRANSLATE(B17, ""en"", ""hr"")"),"Exp Orb: Oružje")</f>
        <v>Exp Orb: Oružje</v>
      </c>
      <c r="M17" s="26"/>
      <c r="N17" s="26"/>
      <c r="O17" s="26"/>
      <c r="P17" s="26"/>
      <c r="Q17" s="26"/>
      <c r="R17" s="26"/>
      <c r="S17" s="26"/>
      <c r="T17" s="26"/>
      <c r="U17" s="26"/>
      <c r="V17" s="26"/>
      <c r="W17" s="26"/>
      <c r="X17" s="26"/>
      <c r="Y17" s="26"/>
      <c r="Z17" s="26"/>
      <c r="AA17" s="26"/>
      <c r="AB17" s="26"/>
    </row>
    <row r="18">
      <c r="A18" s="21" t="s">
        <v>482</v>
      </c>
      <c r="B18" s="22" t="s">
        <v>483</v>
      </c>
      <c r="C18" s="23" t="str">
        <f>IFERROR(__xludf.DUMMYFUNCTION("GOOGLETRANSLATE(B18, ""en"", ""fr"")"),"Donne beaucoup de statistiques d'armes Exp lorsqu'ils sont utilisés.")</f>
        <v>Donne beaucoup de statistiques d'armes Exp lorsqu'ils sont utilisés.</v>
      </c>
      <c r="D18" s="23" t="str">
        <f>IFERROR(__xludf.DUMMYFUNCTION("GOOGLETRANSLATE(B18, ""en"", ""es"")"),"Da muchas estadísticas de armamento EXP cuando se usa.")</f>
        <v>Da muchas estadísticas de armamento EXP cuando se usa.</v>
      </c>
      <c r="E18" s="23" t="s">
        <v>484</v>
      </c>
      <c r="F18" s="23" t="str">
        <f>IFERROR(__xludf.DUMMYFUNCTION("GOOGLETRANSLATE(B18, ""en"", ""tr"")"),"Kullanıldığında çok sayıda silah stat exp verir.")</f>
        <v>Kullanıldığında çok sayıda silah stat exp verir.</v>
      </c>
      <c r="G18" s="23" t="str">
        <f>IFERROR(__xludf.DUMMYFUNCTION("GOOGLETRANSLATE(B18, ""en"", ""pt"")"),"Dá muitas estatísticas de armas quando usadas.")</f>
        <v>Dá muitas estatísticas de armas quando usadas.</v>
      </c>
      <c r="H18" s="24" t="str">
        <f>IFERROR(__xludf.DUMMYFUNCTION("GOOGLETRANSLATE(B18, ""en"", ""de"")"),"Gibt viele Waffenstat -Exp, wenn sie verwendet werden.")</f>
        <v>Gibt viele Waffenstat -Exp, wenn sie verwendet werden.</v>
      </c>
      <c r="I18" s="23" t="str">
        <f>IFERROR(__xludf.DUMMYFUNCTION("GOOGLETRANSLATE(B18, ""en"", ""pl"")"),"Daje dużo statystyk broni, gdy jest używany.")</f>
        <v>Daje dużo statystyk broni, gdy jest używany.</v>
      </c>
      <c r="J18" s="25" t="str">
        <f>IFERROR(__xludf.DUMMYFUNCTION("GOOGLETRANSLATE(B18, ""en"", ""zh"")"),"使用时会提供大量武器统计经验。")</f>
        <v>使用时会提供大量武器统计经验。</v>
      </c>
      <c r="K18" s="25" t="str">
        <f>IFERROR(__xludf.DUMMYFUNCTION("GOOGLETRANSLATE(B18, ""en"", ""vi"")"),"Cung cấp rất nhiều vũ khí EXP khi được sử dụng.")</f>
        <v>Cung cấp rất nhiều vũ khí EXP khi được sử dụng.</v>
      </c>
      <c r="L18" s="42" t="str">
        <f>IFERROR(__xludf.DUMMYFUNCTION("GOOGLETRANSLATE(B18, ""en"", ""hr"")"),"Daje puno oružja stat exp kada se koristi.")</f>
        <v>Daje puno oružja stat exp kada se koristi.</v>
      </c>
      <c r="M18" s="26"/>
      <c r="N18" s="26"/>
      <c r="O18" s="26"/>
      <c r="P18" s="26"/>
      <c r="Q18" s="26"/>
      <c r="R18" s="26"/>
      <c r="S18" s="26"/>
      <c r="T18" s="26"/>
      <c r="U18" s="26"/>
      <c r="V18" s="26"/>
      <c r="W18" s="26"/>
      <c r="X18" s="26"/>
      <c r="Y18" s="26"/>
      <c r="Z18" s="26"/>
      <c r="AA18" s="26"/>
      <c r="AB18" s="26"/>
    </row>
    <row r="19">
      <c r="A19" s="21" t="s">
        <v>485</v>
      </c>
      <c r="B19" s="22" t="s">
        <v>486</v>
      </c>
      <c r="C19" s="23" t="str">
        <f>IFERROR(__xludf.DUMMYFUNCTION("GOOGLETRANSLATE(B19, ""en"", ""fr"")"),"Exp orbe: armurerie")</f>
        <v>Exp orbe: armurerie</v>
      </c>
      <c r="D19" s="23" t="str">
        <f>IFERROR(__xludf.DUMMYFUNCTION("GOOGLETRANSLATE(B19, ""en"", ""es"")"),"Exp Orb: Armería")</f>
        <v>Exp Orb: Armería</v>
      </c>
      <c r="E19" s="23" t="s">
        <v>487</v>
      </c>
      <c r="F19" s="23" t="str">
        <f>IFERROR(__xludf.DUMMYFUNCTION("GOOGLETRANSLATE(B19, ""en"", ""tr"")"),"Exp Orb: Armory")</f>
        <v>Exp Orb: Armory</v>
      </c>
      <c r="G19" s="23" t="str">
        <f>IFERROR(__xludf.DUMMYFUNCTION("GOOGLETRANSLATE(B19, ""en"", ""pt"")"),"Exp Orb: Armory")</f>
        <v>Exp Orb: Armory</v>
      </c>
      <c r="H19" s="24" t="str">
        <f>IFERROR(__xludf.DUMMYFUNCTION("GOOGLETRANSLATE(B19, ""en"", ""de"")"),"Exp Orb: Waffenkammer")</f>
        <v>Exp Orb: Waffenkammer</v>
      </c>
      <c r="I19" s="23" t="str">
        <f>IFERROR(__xludf.DUMMYFUNCTION("GOOGLETRANSLATE(B19, ""en"", ""pl"")"),"Exp Orb: zbrojownia")</f>
        <v>Exp Orb: zbrojownia</v>
      </c>
      <c r="J19" s="25" t="str">
        <f>IFERROR(__xludf.DUMMYFUNCTION("GOOGLETRANSLATE(B19, ""en"", ""zh"")"),"Exp Orb：军械库")</f>
        <v>Exp Orb：军械库</v>
      </c>
      <c r="K19" s="25" t="str">
        <f>IFERROR(__xludf.DUMMYFUNCTION("GOOGLETRANSLATE(B19, ""en"", ""vi"")"),"Exp orb: Armory")</f>
        <v>Exp orb: Armory</v>
      </c>
      <c r="L19" s="42" t="str">
        <f>IFERROR(__xludf.DUMMYFUNCTION("GOOGLETRANSLATE(B19, ""en"", ""hr"")"),"Exp Orb: Armory")</f>
        <v>Exp Orb: Armory</v>
      </c>
      <c r="M19" s="26"/>
      <c r="N19" s="26"/>
      <c r="O19" s="26"/>
      <c r="P19" s="26"/>
      <c r="Q19" s="26"/>
      <c r="R19" s="26"/>
      <c r="S19" s="26"/>
      <c r="T19" s="26"/>
      <c r="U19" s="26"/>
      <c r="V19" s="26"/>
      <c r="W19" s="26"/>
      <c r="X19" s="26"/>
      <c r="Y19" s="26"/>
      <c r="Z19" s="26"/>
      <c r="AA19" s="26"/>
      <c r="AB19" s="26"/>
    </row>
    <row r="20">
      <c r="A20" s="21" t="s">
        <v>488</v>
      </c>
      <c r="B20" s="22" t="s">
        <v>489</v>
      </c>
      <c r="C20" s="23" t="str">
        <f>IFERROR(__xludf.DUMMYFUNCTION("GOOGLETRANSLATE(B20, ""en"", ""fr"")"),"Donne beaucoup de statistiques armorales Exp lorsqu'ils sont utilisés.")</f>
        <v>Donne beaucoup de statistiques armorales Exp lorsqu'ils sont utilisés.</v>
      </c>
      <c r="D20" s="23" t="str">
        <f>IFERROR(__xludf.DUMMYFUNCTION("GOOGLETRANSLATE(B20, ""en"", ""es"")"),"Da muchas estadísticas de armería EXP cuando se usa.")</f>
        <v>Da muchas estadísticas de armería EXP cuando se usa.</v>
      </c>
      <c r="E20" s="23" t="s">
        <v>490</v>
      </c>
      <c r="F20" s="23" t="str">
        <f>IFERROR(__xludf.DUMMYFUNCTION("GOOGLETRANSLATE(B20, ""en"", ""tr"")"),"Kullanıldığında çok fazla armory stat exp verir.")</f>
        <v>Kullanıldığında çok fazla armory stat exp verir.</v>
      </c>
      <c r="G20" s="23" t="str">
        <f>IFERROR(__xludf.DUMMYFUNCTION("GOOGLETRANSLATE(B20, ""en"", ""pt"")"),"Dá muito Stat Exp Armory quando usado.")</f>
        <v>Dá muito Stat Exp Armory quando usado.</v>
      </c>
      <c r="H20" s="24" t="str">
        <f>IFERROR(__xludf.DUMMYFUNCTION("GOOGLETRANSLATE(B20, ""en"", ""de"")"),"Gibt bei Verwendung viel Waffenstillstands -STAT -Exp.")</f>
        <v>Gibt bei Verwendung viel Waffenstillstands -STAT -Exp.</v>
      </c>
      <c r="I20" s="23" t="str">
        <f>IFERROR(__xludf.DUMMYFUNCTION("GOOGLETRANSLATE(B20, ""en"", ""pl"")"),"Daje dużo Zbrojowni Exp, gdy jest używany.")</f>
        <v>Daje dużo Zbrojowni Exp, gdy jest używany.</v>
      </c>
      <c r="J20" s="25" t="str">
        <f>IFERROR(__xludf.DUMMYFUNCTION("GOOGLETRANSLATE(B20, ""en"", ""zh"")"),"使用时会提供大量的军械库量表。")</f>
        <v>使用时会提供大量的军械库量表。</v>
      </c>
      <c r="K20" s="25" t="str">
        <f>IFERROR(__xludf.DUMMYFUNCTION("GOOGLETRANSLATE(B20, ""en"", ""vi"")"),"Cung cấp rất nhiều exp Stat Armory khi được sử dụng.")</f>
        <v>Cung cấp rất nhiều exp Stat Armory khi được sử dụng.</v>
      </c>
      <c r="L20" s="42" t="str">
        <f>IFERROR(__xludf.DUMMYFUNCTION("GOOGLETRANSLATE(B20, ""en"", ""hr"")"),"Daje puno oružarskih stat -a EXP kada se koristi.")</f>
        <v>Daje puno oružarskih stat -a EXP kada se koristi.</v>
      </c>
      <c r="M20" s="26"/>
      <c r="N20" s="26"/>
      <c r="O20" s="26"/>
      <c r="P20" s="26"/>
      <c r="Q20" s="26"/>
      <c r="R20" s="26"/>
      <c r="S20" s="26"/>
      <c r="T20" s="26"/>
      <c r="U20" s="26"/>
      <c r="V20" s="26"/>
      <c r="W20" s="26"/>
      <c r="X20" s="26"/>
      <c r="Y20" s="26"/>
      <c r="Z20" s="26"/>
      <c r="AA20" s="26"/>
      <c r="AB20" s="26"/>
    </row>
    <row r="21">
      <c r="A21" s="21" t="s">
        <v>491</v>
      </c>
      <c r="B21" s="22" t="s">
        <v>492</v>
      </c>
      <c r="C21" s="23" t="str">
        <f>IFERROR(__xludf.DUMMYFUNCTION("GOOGLETRANSLATE(B21, ""en"", ""fr"")"),"Exp orbe: outils")</f>
        <v>Exp orbe: outils</v>
      </c>
      <c r="D21" s="23" t="str">
        <f>IFERROR(__xludf.DUMMYFUNCTION("GOOGLETRANSLATE(B21, ""en"", ""es"")"),"Exp Orb: Toolery")</f>
        <v>Exp Orb: Toolery</v>
      </c>
      <c r="E21" s="23" t="s">
        <v>493</v>
      </c>
      <c r="F21" s="23" t="str">
        <f>IFERROR(__xludf.DUMMYFUNCTION("GOOGLETRANSLATE(B21, ""en"", ""tr"")"),"Exp Orb: Araçlar")</f>
        <v>Exp Orb: Araçlar</v>
      </c>
      <c r="G21" s="23" t="str">
        <f>IFERROR(__xludf.DUMMYFUNCTION("GOOGLETRANSLATE(B21, ""en"", ""pt"")"),"Exp Orb: Toolery")</f>
        <v>Exp Orb: Toolery</v>
      </c>
      <c r="H21" s="24" t="str">
        <f>IFERROR(__xludf.DUMMYFUNCTION("GOOGLETRANSLATE(B21, ""en"", ""de"")"),"Exp Orb: Toolery")</f>
        <v>Exp Orb: Toolery</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42" t="str">
        <f>IFERROR(__xludf.DUMMYFUNCTION("GOOGLETRANSLATE(B21, ""en"", ""hr"")"),"EXP ORB: ALADERY")</f>
        <v>EXP ORB: ALADERY</v>
      </c>
      <c r="M21" s="26"/>
      <c r="N21" s="26"/>
      <c r="O21" s="26"/>
      <c r="P21" s="26"/>
      <c r="Q21" s="26"/>
      <c r="R21" s="26"/>
      <c r="S21" s="26"/>
      <c r="T21" s="26"/>
      <c r="U21" s="26"/>
      <c r="V21" s="26"/>
      <c r="W21" s="26"/>
      <c r="X21" s="26"/>
      <c r="Y21" s="26"/>
      <c r="Z21" s="26"/>
      <c r="AA21" s="26"/>
      <c r="AB21" s="26"/>
    </row>
    <row r="22">
      <c r="A22" s="21" t="s">
        <v>494</v>
      </c>
      <c r="B22" s="22" t="s">
        <v>495</v>
      </c>
      <c r="C22" s="23" t="str">
        <f>IFERROR(__xludf.DUMMYFUNCTION("GOOGLETRANSLATE(B22, ""en"", ""fr"")"),"Donne beaucoup d'outils Stat Exp lorsqu'il est utilisé.")</f>
        <v>Donne beaucoup d'outils Stat Exp lorsqu'il est utilisé.</v>
      </c>
      <c r="D22" s="23" t="str">
        <f>IFERROR(__xludf.DUMMYFUNCTION("GOOGLETRANSLATE(B22, ""en"", ""es"")"),"Ofrece una gran cantidad de estadísticas de herramientas cuando se usa.")</f>
        <v>Ofrece una gran cantidad de estadísticas de herramientas cuando se usa.</v>
      </c>
      <c r="E22" s="23" t="s">
        <v>496</v>
      </c>
      <c r="F22" s="23" t="str">
        <f>IFERROR(__xludf.DUMMYFUNCTION("GOOGLETRANSLATE(B22, ""en"", ""tr"")"),"Kullanıldığında çok fazla araç stat exp verir.")</f>
        <v>Kullanıldığında çok fazla araç stat exp verir.</v>
      </c>
      <c r="G22" s="23" t="str">
        <f>IFERROR(__xludf.DUMMYFUNCTION("GOOGLETRANSLATE(B22, ""en"", ""pt"")"),"Fornece muitas estatísticas de ferramentas quando usadas.")</f>
        <v>Fornece muitas estatísticas de ferramentas quando usadas.</v>
      </c>
      <c r="H22" s="24" t="str">
        <f>IFERROR(__xludf.DUMMYFUNCTION("GOOGLETRANSLATE(B22, ""en"", ""de"")"),"Gibt bei Verwendung viel Exp -Exp.")</f>
        <v>Gibt bei Verwendung viel Exp -Exp.</v>
      </c>
      <c r="I22" s="23" t="str">
        <f>IFERROR(__xludf.DUMMYFUNCTION("GOOGLETRANSLATE(B22, ""en"", ""pl"")"),"Daje wiele narzędzi Exp, gdy jest używany.")</f>
        <v>Daje wiele narzędzi Exp, gdy jest używany.</v>
      </c>
      <c r="J22" s="25" t="str">
        <f>IFERROR(__xludf.DUMMYFUNCTION("GOOGLETRANSLATE(B22, ""en"", ""zh"")"),"使用时提供大量工具stat Exp。")</f>
        <v>使用时提供大量工具stat Exp。</v>
      </c>
      <c r="K22" s="25" t="str">
        <f>IFERROR(__xludf.DUMMYFUNCTION("GOOGLETRANSLATE(B22, ""en"", ""vi"")"),"Cung cấp rất nhiều công cụ exp stat khi được sử dụng.")</f>
        <v>Cung cấp rất nhiều công cụ exp stat khi được sử dụng.</v>
      </c>
      <c r="L22" s="42" t="str">
        <f>IFERROR(__xludf.DUMMYFUNCTION("GOOGLETRANSLATE(B22, ""en"", ""hr"")"),"Daje puno alata Stat EXP kada se koristi.")</f>
        <v>Daje puno alata Stat EXP kada se koristi.</v>
      </c>
      <c r="M22" s="26"/>
      <c r="N22" s="26"/>
      <c r="O22" s="26"/>
      <c r="P22" s="26"/>
      <c r="Q22" s="26"/>
      <c r="R22" s="26"/>
      <c r="S22" s="26"/>
      <c r="T22" s="26"/>
      <c r="U22" s="26"/>
      <c r="V22" s="26"/>
      <c r="W22" s="26"/>
      <c r="X22" s="26"/>
      <c r="Y22" s="26"/>
      <c r="Z22" s="26"/>
      <c r="AA22" s="26"/>
      <c r="AB22" s="26"/>
    </row>
    <row r="23">
      <c r="A23" s="21" t="s">
        <v>497</v>
      </c>
      <c r="B23" s="22" t="s">
        <v>498</v>
      </c>
      <c r="C23" s="23" t="str">
        <f>IFERROR(__xludf.DUMMYFUNCTION("GOOGLETRANSLATE(B23, ""en"", ""fr"")"),"Exp Orb: Potionry")</f>
        <v>Exp Orb: Potionry</v>
      </c>
      <c r="D23" s="23" t="str">
        <f>IFERROR(__xludf.DUMMYFUNCTION("GOOGLETRANSLATE(B23, ""en"", ""es"")"),"Exp Orb: Poción")</f>
        <v>Exp Orb: Poción</v>
      </c>
      <c r="E23" s="23" t="s">
        <v>499</v>
      </c>
      <c r="F23" s="23" t="str">
        <f>IFERROR(__xludf.DUMMYFUNCTION("GOOGLETRANSLATE(B23, ""en"", ""tr"")"),"Exp Orb: İksir")</f>
        <v>Exp Orb: İksir</v>
      </c>
      <c r="G23" s="23" t="str">
        <f>IFERROR(__xludf.DUMMYFUNCTION("GOOGLETRANSLATE(B23, ""en"", ""pt"")"),"Exp Orb: Potionalidade")</f>
        <v>Exp Orb: Potionalidade</v>
      </c>
      <c r="H23" s="24" t="str">
        <f>IFERROR(__xludf.DUMMYFUNCTION("GOOGLETRANSLATE(B23, ""en"", ""de"")"),"Exp Orb: Trankwerk")</f>
        <v>Exp Orb: Trankwerk</v>
      </c>
      <c r="I23" s="23" t="str">
        <f>IFERROR(__xludf.DUMMYFUNCTION("GOOGLETRANSLATE(B23, ""en"", ""pl"")"),"Exp Orb: Miksturry")</f>
        <v>Exp Orb: Miksturry</v>
      </c>
      <c r="J23" s="25" t="str">
        <f>IFERROR(__xludf.DUMMYFUNCTION("GOOGLETRANSLATE(B23, ""en"", ""zh"")"),"Exp Orb：药水")</f>
        <v>Exp Orb：药水</v>
      </c>
      <c r="K23" s="25" t="str">
        <f>IFERROR(__xludf.DUMMYFUNCTION("GOOGLETRANSLATE(B23, ""en"", ""vi"")"),"Exp orb: potionry")</f>
        <v>Exp orb: potionry</v>
      </c>
      <c r="L23" s="42" t="str">
        <f>IFERROR(__xludf.DUMMYFUNCTION("GOOGLETRANSLATE(B23, ""en"", ""hr"")"),"EXP ORB: Naktim")</f>
        <v>EXP ORB: Naktim</v>
      </c>
      <c r="M23" s="26"/>
      <c r="N23" s="26"/>
      <c r="O23" s="26"/>
      <c r="P23" s="26"/>
      <c r="Q23" s="26"/>
      <c r="R23" s="26"/>
      <c r="S23" s="26"/>
      <c r="T23" s="26"/>
      <c r="U23" s="26"/>
      <c r="V23" s="26"/>
      <c r="W23" s="26"/>
      <c r="X23" s="26"/>
      <c r="Y23" s="26"/>
      <c r="Z23" s="26"/>
      <c r="AA23" s="26"/>
      <c r="AB23" s="26"/>
    </row>
    <row r="24">
      <c r="A24" s="21" t="s">
        <v>500</v>
      </c>
      <c r="B24" s="22" t="s">
        <v>501</v>
      </c>
      <c r="C24" s="23" t="str">
        <f>IFERROR(__xludf.DUMMYFUNCTION("GOOGLETRANSLATE(B24, ""en"", ""fr"")"),"Donne beaucoup de Potionry STAT EXP lorsqu'il est utilisé.")</f>
        <v>Donne beaucoup de Potionry STAT EXP lorsqu'il est utilisé.</v>
      </c>
      <c r="D24" s="23" t="str">
        <f>IFERROR(__xludf.DUMMYFUNCTION("GOOGLETRANSLATE(B24, ""en"", ""es"")"),"Da muchas estadísticas de Potionry EXP cuando se usa.")</f>
        <v>Da muchas estadísticas de Potionry EXP cuando se usa.</v>
      </c>
      <c r="E24" s="23" t="s">
        <v>502</v>
      </c>
      <c r="F24" s="23" t="str">
        <f>IFERROR(__xludf.DUMMYFUNCTION("GOOGLETRANSLATE(B24, ""en"", ""tr"")"),"Kullanıldığında çok fazla iksir stat exp verir.")</f>
        <v>Kullanıldığında çok fazla iksir stat exp verir.</v>
      </c>
      <c r="G24" s="23" t="str">
        <f>IFERROR(__xludf.DUMMYFUNCTION("GOOGLETRANSLATE(B24, ""en"", ""pt"")"),"Dá muitas estatísticas de porção quando usadas.")</f>
        <v>Dá muitas estatísticas de porção quando usadas.</v>
      </c>
      <c r="H24" s="24" t="str">
        <f>IFERROR(__xludf.DUMMYFUNCTION("GOOGLETRANSLATE(B24, ""en"", ""de"")"),"Gibt bei Verwendung viel Trankgüter -STAT -Exp.")</f>
        <v>Gibt bei Verwendung viel Trankgüter -STAT -Exp.</v>
      </c>
      <c r="I24" s="23" t="str">
        <f>IFERROR(__xludf.DUMMYFUNCTION("GOOGLETRANSLATE(B24, ""en"", ""pl"")"),"Daje wiele miksturców Exp, gdy jest używany.")</f>
        <v>Daje wiele miksturców Exp, gdy jest używany.</v>
      </c>
      <c r="J24" s="25" t="str">
        <f>IFERROR(__xludf.DUMMYFUNCTION("GOOGLETRANSLATE(B24, ""en"", ""zh"")"),"使用时会提供大量的PATIONRY Stat Exp。")</f>
        <v>使用时会提供大量的PATIONRY Stat Exp。</v>
      </c>
      <c r="K24" s="25" t="str">
        <f>IFERROR(__xludf.DUMMYFUNCTION("GOOGLETRANSLATE(B24, ""en"", ""vi"")"),"Cung cấp rất nhiều Potionry Stat Exp khi được sử dụng.")</f>
        <v>Cung cấp rất nhiều Potionry Stat Exp khi được sử dụng.</v>
      </c>
      <c r="L24" s="42" t="str">
        <f>IFERROR(__xludf.DUMMYFUNCTION("GOOGLETRANSLATE(B24, ""en"", ""hr"")"),"Daje puno Nalicry Stat EXP kada se koristi.")</f>
        <v>Daje puno Nalicry Stat EXP kada se koristi.</v>
      </c>
      <c r="M24" s="26"/>
      <c r="N24" s="26"/>
      <c r="O24" s="26"/>
      <c r="P24" s="26"/>
      <c r="Q24" s="26"/>
      <c r="R24" s="26"/>
      <c r="S24" s="26"/>
      <c r="T24" s="26"/>
      <c r="U24" s="26"/>
      <c r="V24" s="26"/>
      <c r="W24" s="26"/>
      <c r="X24" s="26"/>
      <c r="Y24" s="26"/>
      <c r="Z24" s="26"/>
      <c r="AA24" s="26"/>
      <c r="AB24" s="26"/>
    </row>
    <row r="25">
      <c r="A25" s="21" t="s">
        <v>503</v>
      </c>
      <c r="B25" s="22" t="s">
        <v>504</v>
      </c>
      <c r="C25" s="23" t="str">
        <f>IFERROR(__xludf.DUMMYFUNCTION("GOOGLETRANSLATE(B25, ""en"", ""fr"")"),"Orbe de gloire")</f>
        <v>Orbe de gloire</v>
      </c>
      <c r="D25" s="23" t="str">
        <f>IFERROR(__xludf.DUMMYFUNCTION("GOOGLETRANSLATE(B25, ""en"", ""es"")"),"Orbe de gloria")</f>
        <v>Orbe de gloria</v>
      </c>
      <c r="E25" s="23" t="s">
        <v>505</v>
      </c>
      <c r="F25" s="23" t="str">
        <f>IFERROR(__xludf.DUMMYFUNCTION("GOOGLETRANSLATE(B25, ""en"", ""tr"")"),"Glory küresi")</f>
        <v>Glory küresi</v>
      </c>
      <c r="G25" s="23" t="str">
        <f>IFERROR(__xludf.DUMMYFUNCTION("GOOGLETRANSLATE(B25, ""en"", ""pt"")"),"Glória orb")</f>
        <v>Glória orb</v>
      </c>
      <c r="H25" s="24" t="str">
        <f>IFERROR(__xludf.DUMMYFUNCTION("GOOGLETRANSLATE(B25, ""en"", ""de"")"),"Ruhmskugel")</f>
        <v>Ruhmskugel</v>
      </c>
      <c r="I25" s="23" t="str">
        <f>IFERROR(__xludf.DUMMYFUNCTION("GOOGLETRANSLATE(B25, ""en"", ""pl"")"),"Chwała Kula")</f>
        <v>Chwała Kula</v>
      </c>
      <c r="J25" s="25" t="str">
        <f>IFERROR(__xludf.DUMMYFUNCTION("GOOGLETRANSLATE(B25, ""en"", ""zh"")"),"荣耀球")</f>
        <v>荣耀球</v>
      </c>
      <c r="K25" s="25" t="str">
        <f>IFERROR(__xludf.DUMMYFUNCTION("GOOGLETRANSLATE(B25, ""en"", ""vi"")"),"Quả cầu vinh quang")</f>
        <v>Quả cầu vinh quang</v>
      </c>
      <c r="L25" s="42" t="str">
        <f>IFERROR(__xludf.DUMMYFUNCTION("GOOGLETRANSLATE(B25, ""en"", ""hr"")"),"Slava kugla")</f>
        <v>Slava kugla</v>
      </c>
      <c r="M25" s="26"/>
      <c r="N25" s="26"/>
      <c r="O25" s="26"/>
      <c r="P25" s="26"/>
      <c r="Q25" s="26"/>
      <c r="R25" s="26"/>
      <c r="S25" s="26"/>
      <c r="T25" s="26"/>
      <c r="U25" s="26"/>
      <c r="V25" s="26"/>
      <c r="W25" s="26"/>
      <c r="X25" s="26"/>
      <c r="Y25" s="26"/>
      <c r="Z25" s="26"/>
      <c r="AA25" s="26"/>
      <c r="AB25" s="26"/>
    </row>
    <row r="26">
      <c r="A26" s="21" t="s">
        <v>506</v>
      </c>
      <c r="B26" s="22" t="s">
        <v>507</v>
      </c>
      <c r="C26" s="23" t="str">
        <f>IFERROR(__xludf.DUMMYFUNCTION("GOOGLETRANSLATE(B26, ""en"", ""fr"")"),"Donne beaucoup de gloire lorsqu'il est utilisé.")</f>
        <v>Donne beaucoup de gloire lorsqu'il est utilisé.</v>
      </c>
      <c r="D26" s="23" t="str">
        <f>IFERROR(__xludf.DUMMYFUNCTION("GOOGLETRANSLATE(B26, ""en"", ""es"")"),"Da mucha gloria cuando se usa.")</f>
        <v>Da mucha gloria cuando se usa.</v>
      </c>
      <c r="E26" s="23" t="s">
        <v>508</v>
      </c>
      <c r="F26" s="23" t="str">
        <f>IFERROR(__xludf.DUMMYFUNCTION("GOOGLETRANSLATE(B26, ""en"", ""tr"")"),"Kullanıldığında çok fazla ihtişam verir.")</f>
        <v>Kullanıldığında çok fazla ihtişam verir.</v>
      </c>
      <c r="G26" s="23" t="str">
        <f>IFERROR(__xludf.DUMMYFUNCTION("GOOGLETRANSLATE(B26, ""en"", ""pt"")"),"Dá muita glória quando usado.")</f>
        <v>Dá muita glória quando usado.</v>
      </c>
      <c r="H26" s="24" t="str">
        <f>IFERROR(__xludf.DUMMYFUNCTION("GOOGLETRANSLATE(B26, ""en"", ""de"")"),"Gibt beim Gebrauch viel Ruhm.")</f>
        <v>Gibt beim Gebrauch viel Ruhm.</v>
      </c>
      <c r="I26" s="23" t="str">
        <f>IFERROR(__xludf.DUMMYFUNCTION("GOOGLETRANSLATE(B26, ""en"", ""pl"")"),"Daje dużo chwały, gdy jest używany.")</f>
        <v>Daje dużo chwały, gdy jest używany.</v>
      </c>
      <c r="J26" s="25" t="str">
        <f>IFERROR(__xludf.DUMMYFUNCTION("GOOGLETRANSLATE(B26, ""en"", ""zh"")"),"使用时给予很多荣耀。")</f>
        <v>使用时给予很多荣耀。</v>
      </c>
      <c r="K26" s="25" t="str">
        <f>IFERROR(__xludf.DUMMYFUNCTION("GOOGLETRANSLATE(B26, ""en"", ""vi"")"),"Cho rất nhiều vinh quang khi được sử dụng.")</f>
        <v>Cho rất nhiều vinh quang khi được sử dụng.</v>
      </c>
      <c r="L26" s="42" t="str">
        <f>IFERROR(__xludf.DUMMYFUNCTION("GOOGLETRANSLATE(B26, ""en"", ""hr"")"),"Daje puno slave kada se koristi.")</f>
        <v>Daje puno slave kada se koristi.</v>
      </c>
      <c r="M26" s="26"/>
      <c r="N26" s="26"/>
      <c r="O26" s="26"/>
      <c r="P26" s="26"/>
      <c r="Q26" s="26"/>
      <c r="R26" s="26"/>
      <c r="S26" s="26"/>
      <c r="T26" s="26"/>
      <c r="U26" s="26"/>
      <c r="V26" s="26"/>
      <c r="W26" s="26"/>
      <c r="X26" s="26"/>
      <c r="Y26" s="26"/>
      <c r="Z26" s="26"/>
      <c r="AA26" s="26"/>
      <c r="AB26" s="26"/>
    </row>
    <row r="27">
      <c r="A27" s="21" t="s">
        <v>509</v>
      </c>
      <c r="B27" s="22" t="s">
        <v>510</v>
      </c>
      <c r="C27" s="23" t="str">
        <f>IFERROR(__xludf.DUMMYFUNCTION("GOOGLETRANSLATE(B27, ""en"", ""fr"")"),"Petite boîte de butin")</f>
        <v>Petite boîte de butin</v>
      </c>
      <c r="D27" s="23" t="str">
        <f>IFERROR(__xludf.DUMMYFUNCTION("GOOGLETRANSLATE(B27, ""en"", ""es"")"),"Pequeña caja de botín")</f>
        <v>Pequeña caja de botín</v>
      </c>
      <c r="E27" s="23" t="str">
        <f>IFERROR(__xludf.DUMMYFUNCTION("GOOGLETRANSLATE(B27, ""en"", ""ru"")"),"Крошечная добыча")</f>
        <v>Крошечная добыча</v>
      </c>
      <c r="F27" s="23" t="str">
        <f>IFERROR(__xludf.DUMMYFUNCTION("GOOGLETRANSLATE(B27, ""en"", ""tr"")"),"Küçük Yağma Kutusu")</f>
        <v>Küçük Yağma Kutusu</v>
      </c>
      <c r="G27" s="23" t="str">
        <f>IFERROR(__xludf.DUMMYFUNCTION("GOOGLETRANSLATE(B27, ""en"", ""pt"")"),"Pequena caixa de pilhagem")</f>
        <v>Pequena caixa de pilhagem</v>
      </c>
      <c r="H27" s="24" t="str">
        <f>IFERROR(__xludf.DUMMYFUNCTION("GOOGLETRANSLATE(B27, ""en"", ""de"")"),"Winzige Beutekiste")</f>
        <v>Winzige Beutekiste</v>
      </c>
      <c r="I27" s="23" t="str">
        <f>IFERROR(__xludf.DUMMYFUNCTION("GOOGLETRANSLATE(B27, ""en"", ""pl"")"),"Małe skrzynki z łupami")</f>
        <v>Małe skrzynki z łupami</v>
      </c>
      <c r="J27" s="25" t="str">
        <f>IFERROR(__xludf.DUMMYFUNCTION("GOOGLETRANSLATE(B27, ""en"", ""zh"")"),"小战利品盒")</f>
        <v>小战利品盒</v>
      </c>
      <c r="K27" s="25" t="str">
        <f>IFERROR(__xludf.DUMMYFUNCTION("GOOGLETRANSLATE(B27, ""en"", ""vi"")"),"Hộp loot nhỏ")</f>
        <v>Hộp loot nhỏ</v>
      </c>
      <c r="L27" s="42" t="str">
        <f>IFERROR(__xludf.DUMMYFUNCTION("GOOGLETRANSLATE(B27, ""en"", ""hr"")"),"Sitni okvir za plijen")</f>
        <v>Sitni okvir za plijen</v>
      </c>
      <c r="M27" s="26"/>
      <c r="N27" s="26"/>
      <c r="O27" s="26"/>
      <c r="P27" s="26"/>
      <c r="Q27" s="26"/>
      <c r="R27" s="26"/>
      <c r="S27" s="26"/>
      <c r="T27" s="26"/>
      <c r="U27" s="26"/>
      <c r="V27" s="26"/>
      <c r="W27" s="26"/>
      <c r="X27" s="26"/>
      <c r="Y27" s="26"/>
      <c r="Z27" s="26"/>
      <c r="AA27" s="26"/>
      <c r="AB27" s="26"/>
    </row>
    <row r="28">
      <c r="A28" s="21" t="s">
        <v>511</v>
      </c>
      <c r="B28" s="22" t="s">
        <v>512</v>
      </c>
      <c r="C28" s="23" t="str">
        <f>IFERROR(__xludf.DUMMYFUNCTION("GOOGLETRANSLATE(B28, ""en"", ""fr"")"),"Donne 1 élément aléatoire lorsqu'il est utilisé.")</f>
        <v>Donne 1 élément aléatoire lorsqu'il est utilisé.</v>
      </c>
      <c r="D28" s="23" t="str">
        <f>IFERROR(__xludf.DUMMYFUNCTION("GOOGLETRANSLATE(B28, ""en"", ""es"")"),"Da 1 elemento aleatorio cuando se usa.")</f>
        <v>Da 1 elemento aleatorio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öğe verir.")</f>
        <v>Kullanıldığında 1 rastgele öğe verir.</v>
      </c>
      <c r="G28" s="23" t="str">
        <f>IFERROR(__xludf.DUMMYFUNCTION("GOOGLETRANSLATE(B28, ""en"", ""pt"")"),"Fornece 1 item aleatório quando usado.")</f>
        <v>Fornece 1 item aleatório quando usado.</v>
      </c>
      <c r="H28" s="24" t="str">
        <f>IFERROR(__xludf.DUMMYFUNCTION("GOOGLETRANSLATE(B28, ""en"", ""de"")"),"Gibt 1 zufälligen Element, wenn sie verwendet werden.")</f>
        <v>Gibt 1 zufälligen Element, wenn sie verwendet werden.</v>
      </c>
      <c r="I28" s="23" t="str">
        <f>IFERROR(__xludf.DUMMYFUNCTION("GOOGLETRANSLATE(B28, ""en"", ""pl"")"),"Daje 1 losowy element, gdy jest używany.")</f>
        <v>Daje 1 losowy element, gdy jest używany.</v>
      </c>
      <c r="J28" s="25" t="str">
        <f>IFERROR(__xludf.DUMMYFUNCTION("GOOGLETRANSLATE(B28, ""en"", ""zh"")"),"使用时给出1个随机项目。")</f>
        <v>使用时给出1个随机项目。</v>
      </c>
      <c r="K28" s="25" t="str">
        <f>IFERROR(__xludf.DUMMYFUNCTION("GOOGLETRANSLATE(B28, ""en"", ""vi"")"),"Cho 1 mục ngẫu nhiên khi được sử dụng.")</f>
        <v>Cho 1 mục ngẫu nhiên khi được sử dụng.</v>
      </c>
      <c r="L28" s="42" t="str">
        <f>IFERROR(__xludf.DUMMYFUNCTION("GOOGLETRANSLATE(B28, ""en"", ""hr"")"),"Daje 1 slučajnu stavku kada se koristi.")</f>
        <v>Daje 1 slučajnu stavku kada se koristi.</v>
      </c>
      <c r="M28" s="26"/>
      <c r="N28" s="26"/>
      <c r="O28" s="26"/>
      <c r="P28" s="26"/>
      <c r="Q28" s="26"/>
      <c r="R28" s="26"/>
      <c r="S28" s="26"/>
      <c r="T28" s="26"/>
      <c r="U28" s="26"/>
      <c r="V28" s="26"/>
      <c r="W28" s="26"/>
      <c r="X28" s="26"/>
      <c r="Y28" s="26"/>
      <c r="Z28" s="26"/>
      <c r="AA28" s="26"/>
      <c r="AB28" s="26"/>
    </row>
    <row r="29">
      <c r="A29" s="21" t="s">
        <v>513</v>
      </c>
      <c r="B29" s="22" t="s">
        <v>514</v>
      </c>
      <c r="C29" s="23" t="str">
        <f>IFERROR(__xludf.DUMMYFUNCTION("GOOGLETRANSLATE(B29, ""en"", ""fr"")"),"Petite boîte à butin")</f>
        <v>Petite boîte à butin</v>
      </c>
      <c r="D29" s="23" t="str">
        <f>IFERROR(__xludf.DUMMYFUNCTION("GOOGLETRANSLATE(B29, ""en"", ""es"")"),"Caja de botín pequeña")</f>
        <v>Caja de botín pequeña</v>
      </c>
      <c r="E29" s="23" t="str">
        <f>IFERROR(__xludf.DUMMYFUNCTION("GOOGLETRANSLATE(B29, ""en"", ""ru"")"),"Маленькая ящик для добычи")</f>
        <v>Маленькая ящик для добычи</v>
      </c>
      <c r="F29" s="23" t="str">
        <f>IFERROR(__xludf.DUMMYFUNCTION("GOOGLETRANSLATE(B29, ""en"", ""tr"")"),"Küçük Yağma Kutusu")</f>
        <v>Küçük Yağma Kutusu</v>
      </c>
      <c r="G29" s="23" t="str">
        <f>IFERROR(__xludf.DUMMYFUNCTION("GOOGLETRANSLATE(B29, ""en"", ""pt"")"),"Pequena caixa de pilhagem")</f>
        <v>Pequena caixa de pilhagem</v>
      </c>
      <c r="H29" s="24" t="str">
        <f>IFERROR(__xludf.DUMMYFUNCTION("GOOGLETRANSLATE(B29, ""en"", ""de"")"),"Kleine Beutebox")</f>
        <v>Kleine Beutebox</v>
      </c>
      <c r="I29" s="23" t="str">
        <f>IFERROR(__xludf.DUMMYFUNCTION("GOOGLETRANSLATE(B29, ""en"", ""pl"")"),"Małe skrzynkę z łupami")</f>
        <v>Małe skrzynkę z łupami</v>
      </c>
      <c r="J29" s="25" t="str">
        <f>IFERROR(__xludf.DUMMYFUNCTION("GOOGLETRANSLATE(B29, ""en"", ""zh"")"),"小战利品盒")</f>
        <v>小战利品盒</v>
      </c>
      <c r="K29" s="25" t="str">
        <f>IFERROR(__xludf.DUMMYFUNCTION("GOOGLETRANSLATE(B29, ""en"", ""vi"")"),"Hộp loot nhỏ")</f>
        <v>Hộp loot nhỏ</v>
      </c>
      <c r="L29" s="42" t="str">
        <f>IFERROR(__xludf.DUMMYFUNCTION("GOOGLETRANSLATE(B29, ""en"", ""hr"")"),"Kutija s malim plijenom")</f>
        <v>Kutija s malim plijenom</v>
      </c>
      <c r="M29" s="26"/>
      <c r="N29" s="26"/>
      <c r="O29" s="26"/>
      <c r="P29" s="26"/>
      <c r="Q29" s="26"/>
      <c r="R29" s="26"/>
      <c r="S29" s="26"/>
      <c r="T29" s="26"/>
      <c r="U29" s="26"/>
      <c r="V29" s="26"/>
      <c r="W29" s="26"/>
      <c r="X29" s="26"/>
      <c r="Y29" s="26"/>
      <c r="Z29" s="26"/>
      <c r="AA29" s="26"/>
      <c r="AB29" s="26"/>
    </row>
    <row r="30">
      <c r="A30" s="21" t="s">
        <v>515</v>
      </c>
      <c r="B30" s="22" t="s">
        <v>516</v>
      </c>
      <c r="C30" s="23" t="str">
        <f>IFERROR(__xludf.DUMMYFUNCTION("GOOGLETRANSLATE(B30, ""en"", ""fr"")"),"Donne 2 éléments aléatoires lorsqu'il est utilisé.")</f>
        <v>Donne 2 éléments aléatoires lorsqu'il est utilisé.</v>
      </c>
      <c r="D30" s="23" t="str">
        <f>IFERROR(__xludf.DUMMYFUNCTION("GOOGLETRANSLATE(B30, ""en"", ""es"")"),"Da 2 elementos aleatorios cuando se usa.")</f>
        <v>Da 2 elementos aleatorios cuando se usa.</v>
      </c>
      <c r="E30" s="23" t="str">
        <f>IFERROR(__xludf.DUMMYFUNCTION("GOOGLETRANSLATE(B30, ""en"", ""ru"")"),"Дает 2 случайных элемента при использовании.")</f>
        <v>Дает 2 случайных элемента при использовании.</v>
      </c>
      <c r="F30" s="23" t="str">
        <f>IFERROR(__xludf.DUMMYFUNCTION("GOOGLETRANSLATE(B30, ""en"", ""tr"")"),"Kullanıldığında 2 rastgele öğe verir.")</f>
        <v>Kullanıldığında 2 rastgele öğe verir.</v>
      </c>
      <c r="G30" s="23" t="str">
        <f>IFERROR(__xludf.DUMMYFUNCTION("GOOGLETRANSLATE(B30, ""en"", ""pt"")"),"Fornece 2 itens aleatórios quando usados.")</f>
        <v>Fornece 2 itens aleatórios quando usados.</v>
      </c>
      <c r="H30" s="24" t="str">
        <f>IFERROR(__xludf.DUMMYFUNCTION("GOOGLETRANSLATE(B30, ""en"", ""de"")"),"Gibt 2 zufällige Elemente, wenn sie verwendet werden.")</f>
        <v>Gibt 2 zufällige Elemente, wenn sie verwendet werden.</v>
      </c>
      <c r="I30" s="23" t="str">
        <f>IFERROR(__xludf.DUMMYFUNCTION("GOOGLETRANSLATE(B30, ""en"", ""pl"")"),"Podaje 2 losowe elementy, gdy są używane.")</f>
        <v>Podaje 2 losowe elementy, gdy są używane.</v>
      </c>
      <c r="J30" s="25" t="str">
        <f>IFERROR(__xludf.DUMMYFUNCTION("GOOGLETRANSLATE(B30, ""en"", ""zh"")"),"使用时给出2个随机项目。")</f>
        <v>使用时给出2个随机项目。</v>
      </c>
      <c r="K30" s="25" t="str">
        <f>IFERROR(__xludf.DUMMYFUNCTION("GOOGLETRANSLATE(B30, ""en"", ""vi"")"),"Cho 2 mục ngẫu nhiên khi được sử dụng.")</f>
        <v>Cho 2 mục ngẫu nhiên khi được sử dụng.</v>
      </c>
      <c r="L30" s="42" t="str">
        <f>IFERROR(__xludf.DUMMYFUNCTION("GOOGLETRANSLATE(B30, ""en"", ""hr"")"),"Daje 2 nasumične stavke kada se koriste.")</f>
        <v>Daje 2 nasumične stavke kada se koriste.</v>
      </c>
      <c r="M30" s="26"/>
      <c r="N30" s="26"/>
      <c r="O30" s="26"/>
      <c r="P30" s="26"/>
      <c r="Q30" s="26"/>
      <c r="R30" s="26"/>
      <c r="S30" s="26"/>
      <c r="T30" s="26"/>
      <c r="U30" s="26"/>
      <c r="V30" s="26"/>
      <c r="W30" s="26"/>
      <c r="X30" s="26"/>
      <c r="Y30" s="26"/>
      <c r="Z30" s="26"/>
      <c r="AA30" s="26"/>
      <c r="AB30" s="26"/>
    </row>
    <row r="31">
      <c r="A31" s="21" t="s">
        <v>517</v>
      </c>
      <c r="B31" s="22" t="s">
        <v>518</v>
      </c>
      <c r="C31" s="23" t="str">
        <f>IFERROR(__xludf.DUMMYFUNCTION("GOOGLETRANSLATE(B31, ""en"", ""fr"")"),"Boîte de butin moyen")</f>
        <v>Boîte de butin moyen</v>
      </c>
      <c r="D31" s="23" t="str">
        <f>IFERROR(__xludf.DUMMYFUNCTION("GOOGLETRANSLATE(B31, ""en"", ""es"")"),"Caja de botín mediana")</f>
        <v>Caja de botín mediana</v>
      </c>
      <c r="E31" s="23" t="str">
        <f>IFERROR(__xludf.DUMMYFUNCTION("GOOGLETRANSLATE(B31, ""en"", ""ru"")"),"Средняя добыча")</f>
        <v>Средняя добыча</v>
      </c>
      <c r="F31" s="23" t="str">
        <f>IFERROR(__xludf.DUMMYFUNCTION("GOOGLETRANSLATE(B31, ""en"", ""tr"")"),"Orta ganimet kutusu")</f>
        <v>Orta ganimet kutusu</v>
      </c>
      <c r="G31" s="23" t="str">
        <f>IFERROR(__xludf.DUMMYFUNCTION("GOOGLETRANSLATE(B31, ""en"", ""pt"")"),"Caixa de pilhagem média")</f>
        <v>Caixa de pilhagem média</v>
      </c>
      <c r="H31" s="24" t="str">
        <f>IFERROR(__xludf.DUMMYFUNCTION("GOOGLETRANSLATE(B31, ""en"", ""de"")"),"Mittlere Beutebox")</f>
        <v>Mittlere Beutebox</v>
      </c>
      <c r="I31" s="23" t="str">
        <f>IFERROR(__xludf.DUMMYFUNCTION("GOOGLETRANSLATE(B31, ""en"", ""pl"")"),"Średnie łuki")</f>
        <v>Średnie łuki</v>
      </c>
      <c r="J31" s="25" t="str">
        <f>IFERROR(__xludf.DUMMYFUNCTION("GOOGLETRANSLATE(B31, ""en"", ""zh"")"),"中型战利品盒")</f>
        <v>中型战利品盒</v>
      </c>
      <c r="K31" s="25" t="str">
        <f>IFERROR(__xludf.DUMMYFUNCTION("GOOGLETRANSLATE(B31, ""en"", ""vi"")"),"Hộp loot trung bình")</f>
        <v>Hộp loot trung bình</v>
      </c>
      <c r="L31" s="42" t="str">
        <f>IFERROR(__xludf.DUMMYFUNCTION("GOOGLETRANSLATE(B31, ""en"", ""hr"")"),"Kutija srednjeg plijena")</f>
        <v>Kutija srednjeg plijena</v>
      </c>
      <c r="M31" s="26"/>
      <c r="N31" s="26"/>
      <c r="O31" s="26"/>
      <c r="P31" s="26"/>
      <c r="Q31" s="26"/>
      <c r="R31" s="26"/>
      <c r="S31" s="26"/>
      <c r="T31" s="26"/>
      <c r="U31" s="26"/>
      <c r="V31" s="26"/>
      <c r="W31" s="26"/>
      <c r="X31" s="26"/>
      <c r="Y31" s="26"/>
      <c r="Z31" s="26"/>
      <c r="AA31" s="26"/>
      <c r="AB31" s="26"/>
    </row>
    <row r="32">
      <c r="A32" s="21" t="s">
        <v>519</v>
      </c>
      <c r="B32" s="22" t="s">
        <v>520</v>
      </c>
      <c r="C32" s="23" t="str">
        <f>IFERROR(__xludf.DUMMYFUNCTION("GOOGLETRANSLATE(B32, ""en"", ""fr"")"),"Donne 3 éléments aléatoires lorsqu'il est utilisé.")</f>
        <v>Donne 3 éléments aléatoires lorsqu'il est utilisé.</v>
      </c>
      <c r="D32" s="23" t="str">
        <f>IFERROR(__xludf.DUMMYFUNCTION("GOOGLETRANSLATE(B32, ""en"", ""es"")"),"Da 3 elementos aleatorios cuando se usa.")</f>
        <v>Da 3 elementos aleatorios cuando se usa.</v>
      </c>
      <c r="E32" s="23" t="str">
        <f>IFERROR(__xludf.DUMMYFUNCTION("GOOGLETRANSLATE(B32, ""en"", ""ru"")"),"Дает 3 случайных элемента при использовании.")</f>
        <v>Дает 3 случайных элемента при использовании.</v>
      </c>
      <c r="F32" s="23" t="str">
        <f>IFERROR(__xludf.DUMMYFUNCTION("GOOGLETRANSLATE(B32, ""en"", ""tr"")"),"Kullanıldığında 3 rastgele öğe verir.")</f>
        <v>Kullanıldığında 3 rastgele öğe verir.</v>
      </c>
      <c r="G32" s="23" t="str">
        <f>IFERROR(__xludf.DUMMYFUNCTION("GOOGLETRANSLATE(B32, ""en"", ""pt"")"),"Fornece 3 itens aleatórios quando usados.")</f>
        <v>Fornece 3 itens aleatórios quando usados.</v>
      </c>
      <c r="H32" s="24" t="str">
        <f>IFERROR(__xludf.DUMMYFUNCTION("GOOGLETRANSLATE(B32, ""en"", ""de"")"),"Gibt bei Verwendung 3 zufällige Elemente.")</f>
        <v>Gibt bei Verwendung 3 zufällige Elemente.</v>
      </c>
      <c r="I32" s="23" t="str">
        <f>IFERROR(__xludf.DUMMYFUNCTION("GOOGLETRANSLATE(B32, ""en"", ""pl"")"),"Podaje 3 losowe elementy, gdy są używane.")</f>
        <v>Podaje 3 losowe elementy, gdy są używane.</v>
      </c>
      <c r="J32" s="25" t="str">
        <f>IFERROR(__xludf.DUMMYFUNCTION("GOOGLETRANSLATE(B32, ""en"", ""zh"")"),"使用时给出3个随机项目。")</f>
        <v>使用时给出3个随机项目。</v>
      </c>
      <c r="K32" s="25" t="str">
        <f>IFERROR(__xludf.DUMMYFUNCTION("GOOGLETRANSLATE(B32, ""en"", ""vi"")"),"Cho 3 mục ngẫu nhiên khi được sử dụng.")</f>
        <v>Cho 3 mục ngẫu nhiên khi được sử dụng.</v>
      </c>
      <c r="L32" s="42" t="str">
        <f>IFERROR(__xludf.DUMMYFUNCTION("GOOGLETRANSLATE(B32, ""en"", ""hr"")"),"Daje 3 nasumične stavke kada se koriste.")</f>
        <v>Daje 3 nasumične stavke kada se koriste.</v>
      </c>
      <c r="M32" s="26"/>
      <c r="N32" s="26"/>
      <c r="O32" s="26"/>
      <c r="P32" s="26"/>
      <c r="Q32" s="26"/>
      <c r="R32" s="26"/>
      <c r="S32" s="26"/>
      <c r="T32" s="26"/>
      <c r="U32" s="26"/>
      <c r="V32" s="26"/>
      <c r="W32" s="26"/>
      <c r="X32" s="26"/>
      <c r="Y32" s="26"/>
      <c r="Z32" s="26"/>
      <c r="AA32" s="26"/>
      <c r="AB32" s="26"/>
    </row>
    <row r="33">
      <c r="A33" s="21" t="s">
        <v>521</v>
      </c>
      <c r="B33" s="22" t="s">
        <v>522</v>
      </c>
      <c r="C33" s="23" t="str">
        <f>IFERROR(__xludf.DUMMYFUNCTION("GOOGLETRANSLATE(B33, ""en"", ""fr"")"),"Des os")</f>
        <v>Des 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42" t="str">
        <f>IFERROR(__xludf.DUMMYFUNCTION("GOOGLETRANSLATE(B33, ""en"", ""hr"")"),"Kosti")</f>
        <v>Kosti</v>
      </c>
      <c r="M33" s="26"/>
      <c r="N33" s="26"/>
      <c r="O33" s="26"/>
      <c r="P33" s="26"/>
      <c r="Q33" s="26"/>
      <c r="R33" s="26"/>
      <c r="S33" s="26"/>
      <c r="T33" s="26"/>
      <c r="U33" s="26"/>
      <c r="V33" s="26"/>
      <c r="W33" s="26"/>
      <c r="X33" s="26"/>
      <c r="Y33" s="26"/>
      <c r="Z33" s="26"/>
      <c r="AA33" s="26"/>
      <c r="AB33" s="26"/>
    </row>
    <row r="34">
      <c r="A34" s="43" t="s">
        <v>523</v>
      </c>
      <c r="B34" s="22" t="s">
        <v>524</v>
      </c>
      <c r="C34" s="23" t="str">
        <f>IFERROR(__xludf.DUMMYFUNCTION("GOOGLETRANSLATE(B34, ""en"", ""fr"")"),"Peut être fabriqué en équipement primitif.")</f>
        <v>Peut être fabriqué en équipement primitif.</v>
      </c>
      <c r="D34" s="23" t="str">
        <f>IFERROR(__xludf.DUMMYFUNCTION("GOOGLETRANSLATE(B34, ""en"", ""es"")"),"Se puede elaborar en equipos primitivos.")</f>
        <v>Se puede elaborar en equipos primitivos.</v>
      </c>
      <c r="E34" s="23" t="str">
        <f>IFERROR(__xludf.DUMMYFUNCTION("GOOGLETRANSLATE(B34, ""en"", ""ru"")"),"Может быть изготовлен в примитивное оборудование.")</f>
        <v>Может быть изготовлен в примитивное оборудование.</v>
      </c>
      <c r="F34" s="23" t="str">
        <f>IFERROR(__xludf.DUMMYFUNCTION("GOOGLETRANSLATE(B34, ""en"", ""tr"")"),"İlkel ekipmana hazırlanabilir.")</f>
        <v>İlkel ekipmana hazırlanabilir.</v>
      </c>
      <c r="G34" s="23" t="str">
        <f>IFERROR(__xludf.DUMMYFUNCTION("GOOGLETRANSLATE(B34, ""en"", ""pt"")"),"Pode ser criado em equipamentos primitivos.")</f>
        <v>Pode ser criado em equipamentos primitivos.</v>
      </c>
      <c r="H34" s="24" t="str">
        <f>IFERROR(__xludf.DUMMYFUNCTION("GOOGLETRANSLATE(B34, ""en"", ""de"")"),"Kann in primitive Geräte hergestellt werden.")</f>
        <v>Kann in primitive Geräte hergestellt werden.</v>
      </c>
      <c r="I34" s="23" t="str">
        <f>IFERROR(__xludf.DUMMYFUNCTION("GOOGLETRANSLATE(B34, ""en"", ""pl"")"),"Można wykonać w prymitywnym sprzęcie.")</f>
        <v>Można wykonać w prymitywnym sprzęcie.</v>
      </c>
      <c r="J34" s="25" t="str">
        <f>IFERROR(__xludf.DUMMYFUNCTION("GOOGLETRANSLATE(B34, ""en"", ""zh"")"),"可以制作成原始设备。")</f>
        <v>可以制作成原始设备。</v>
      </c>
      <c r="K34" s="25" t="str">
        <f>IFERROR(__xludf.DUMMYFUNCTION("GOOGLETRANSLATE(B34, ""en"", ""vi"")"),"Có thể được chế tạo thành thiết bị nguyên thủy.")</f>
        <v>Có thể được chế tạo thành thiết bị nguyên thủy.</v>
      </c>
      <c r="L34" s="42" t="str">
        <f>IFERROR(__xludf.DUMMYFUNCTION("GOOGLETRANSLATE(B34, ""en"", ""hr"")"),"Može se izraditi u primitivnu opremu.")</f>
        <v>Može se izraditi u primitivnu opremu.</v>
      </c>
      <c r="M34" s="26"/>
      <c r="N34" s="26"/>
      <c r="O34" s="26"/>
      <c r="P34" s="26"/>
      <c r="Q34" s="26"/>
      <c r="R34" s="26"/>
      <c r="S34" s="26"/>
      <c r="T34" s="26"/>
      <c r="U34" s="26"/>
      <c r="V34" s="26"/>
      <c r="W34" s="26"/>
      <c r="X34" s="26"/>
      <c r="Y34" s="26"/>
      <c r="Z34" s="26"/>
      <c r="AA34" s="26"/>
      <c r="AB34" s="26"/>
    </row>
    <row r="35">
      <c r="A35" s="21" t="s">
        <v>525</v>
      </c>
      <c r="B35" s="22" t="s">
        <v>526</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42" t="str">
        <f>IFERROR(__xludf.DUMMYFUNCTION("GOOGLETRANSLATE(B35, ""en"", ""hr"")"),"Željezna ruda")</f>
        <v>Željezna ruda</v>
      </c>
      <c r="M35" s="26"/>
      <c r="N35" s="26"/>
      <c r="O35" s="26"/>
      <c r="P35" s="26"/>
      <c r="Q35" s="26"/>
      <c r="R35" s="26"/>
      <c r="S35" s="26"/>
      <c r="T35" s="26"/>
      <c r="U35" s="26"/>
      <c r="V35" s="26"/>
      <c r="W35" s="26"/>
      <c r="X35" s="26"/>
      <c r="Y35" s="26"/>
      <c r="Z35" s="26"/>
      <c r="AA35" s="26"/>
      <c r="AB35" s="26"/>
    </row>
    <row r="36">
      <c r="A36" s="43" t="s">
        <v>527</v>
      </c>
      <c r="B36" s="22" t="s">
        <v>528</v>
      </c>
      <c r="C36" s="23" t="str">
        <f>IFERROR(__xludf.DUMMYFUNCTION("GOOGLETRANSLATE(B36, ""en"", ""fr"")"),"Peut être fabriqué dans une barre de fer dans un four.")</f>
        <v>Peut être fabriqué dans une barre de fer dans un four.</v>
      </c>
      <c r="D36" s="23" t="str">
        <f>IFERROR(__xludf.DUMMYFUNCTION("GOOGLETRANSLATE(B36, ""en"", ""es"")"),"Se puede elaborar en una barra de hierro en un horno.")</f>
        <v>Se puede elaborar en una barra de hierro en un horno.</v>
      </c>
      <c r="E36" s="23" t="str">
        <f>IFERROR(__xludf.DUMMYFUNCTION("GOOGLETRANSLATE(B36, ""en"", ""ru"")"),"Может быть изготовлен в железный бар у печи.")</f>
        <v>Может быть изготовлен в железный бар у печи.</v>
      </c>
      <c r="F36" s="23" t="str">
        <f>IFERROR(__xludf.DUMMYFUNCTION("GOOGLETRANSLATE(B36, ""en"", ""tr"")"),"Bir fırında bir demir çubuğa üretilebilir.")</f>
        <v>Bir fırında bir demir çubuğa üretilebilir.</v>
      </c>
      <c r="G36" s="23" t="str">
        <f>IFERROR(__xludf.DUMMYFUNCTION("GOOGLETRANSLATE(B36, ""en"", ""pt"")"),"Pode ser criado em uma barra de ferro em um forno.")</f>
        <v>Pode ser criado em uma barra de ferro em um forno.</v>
      </c>
      <c r="H36" s="24" t="str">
        <f>IFERROR(__xludf.DUMMYFUNCTION("GOOGLETRANSLATE(B36, ""en"", ""de"")"),"Kann in einen Eisenstange an einem Ofen gefertigt werden.")</f>
        <v>Kann in einen Eisenstange an einem Ofen gefertigt werden.</v>
      </c>
      <c r="I36" s="23" t="str">
        <f>IFERROR(__xludf.DUMMYFUNCTION("GOOGLETRANSLATE(B36, ""en"", ""pl"")"),"Można wykonać w żelaznym pręcie w piecu.")</f>
        <v>Można wykonać w żelaznym pręcie w piecu.</v>
      </c>
      <c r="J36" s="25" t="str">
        <f>IFERROR(__xludf.DUMMYFUNCTION("GOOGLETRANSLATE(B36, ""en"", ""zh"")"),"可以在炉子的铁杆中制成。")</f>
        <v>可以在炉子的铁杆中制成。</v>
      </c>
      <c r="K36" s="25" t="str">
        <f>IFERROR(__xludf.DUMMYFUNCTION("GOOGLETRANSLATE(B36, ""en"", ""vi"")"),"Có thể được chế tạo thành một thanh sắt tại lò.")</f>
        <v>Có thể được chế tạo thành một thanh sắt tại lò.</v>
      </c>
      <c r="L36" s="42" t="str">
        <f>IFERROR(__xludf.DUMMYFUNCTION("GOOGLETRANSLATE(B36, ""en"", ""hr"")"),"Može se izraditi u željezni šank u peći.")</f>
        <v>Može se izraditi u željezni šank u peći.</v>
      </c>
      <c r="M36" s="26"/>
      <c r="N36" s="26"/>
      <c r="O36" s="26"/>
      <c r="P36" s="26"/>
      <c r="Q36" s="26"/>
      <c r="R36" s="26"/>
      <c r="S36" s="26"/>
      <c r="T36" s="26"/>
      <c r="U36" s="26"/>
      <c r="V36" s="26"/>
      <c r="W36" s="26"/>
      <c r="X36" s="26"/>
      <c r="Y36" s="26"/>
      <c r="Z36" s="26"/>
      <c r="AA36" s="26"/>
      <c r="AB36" s="26"/>
    </row>
    <row r="37">
      <c r="A37" s="43" t="s">
        <v>529</v>
      </c>
      <c r="B37" s="22" t="s">
        <v>530</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pasek")</f>
        <v>Żelazny pasek</v>
      </c>
      <c r="J37" s="25" t="str">
        <f>IFERROR(__xludf.DUMMYFUNCTION("GOOGLETRANSLATE(B37, ""en"", ""zh"")"),"铁杆")</f>
        <v>铁杆</v>
      </c>
      <c r="K37" s="25" t="str">
        <f>IFERROR(__xludf.DUMMYFUNCTION("GOOGLETRANSLATE(B37, ""en"", ""vi"")"),"Thanh sắt")</f>
        <v>Thanh sắt</v>
      </c>
      <c r="L37" s="42" t="str">
        <f>IFERROR(__xludf.DUMMYFUNCTION("GOOGLETRANSLATE(B37, ""en"", ""hr"")"),"Željezna šipka")</f>
        <v>Željezna šipka</v>
      </c>
      <c r="M37" s="26"/>
      <c r="N37" s="26"/>
      <c r="O37" s="26"/>
      <c r="P37" s="26"/>
      <c r="Q37" s="26"/>
      <c r="R37" s="26"/>
      <c r="S37" s="26"/>
      <c r="T37" s="26"/>
      <c r="U37" s="26"/>
      <c r="V37" s="26"/>
      <c r="W37" s="26"/>
      <c r="X37" s="26"/>
      <c r="Y37" s="26"/>
      <c r="Z37" s="26"/>
      <c r="AA37" s="26"/>
      <c r="AB37" s="26"/>
    </row>
    <row r="38">
      <c r="A38" s="43" t="s">
        <v>531</v>
      </c>
      <c r="B38" s="22" t="s">
        <v>532</v>
      </c>
      <c r="C38" s="23" t="str">
        <f>IFERROR(__xludf.DUMMYFUNCTION("GOOGLETRANSLATE(B38, ""en"", ""fr"")"),"Peut être fabriqué en équipement de fer.")</f>
        <v>Peut être fabriqué en équipement de fer.</v>
      </c>
      <c r="D38" s="23" t="str">
        <f>IFERROR(__xludf.DUMMYFUNCTION("GOOGLETRANSLATE(B38, ""en"", ""es"")"),"Se puede elaborar en equipos de hierro.")</f>
        <v>Se puede elaborar en equipos de hierro.</v>
      </c>
      <c r="E38" s="23" t="str">
        <f>IFERROR(__xludf.DUMMYFUNCTION("GOOGLETRANSLATE(B38, ""en"", ""ru"")"),"Может быть изготовлен в железное оборудование.")</f>
        <v>Может быть изготовлен в железное оборудование.</v>
      </c>
      <c r="F38" s="23" t="str">
        <f>IFERROR(__xludf.DUMMYFUNCTION("GOOGLETRANSLATE(B38, ""en"", ""tr"")"),"Demir ekipmana hazırlanabilir.")</f>
        <v>Demir ekipmana hazırlanabilir.</v>
      </c>
      <c r="G38" s="23" t="str">
        <f>IFERROR(__xludf.DUMMYFUNCTION("GOOGLETRANSLATE(B38, ""en"", ""pt"")"),"Pode ser criado em equipamentos de ferro.")</f>
        <v>Pode ser criado em equipamentos de ferro.</v>
      </c>
      <c r="H38" s="24" t="str">
        <f>IFERROR(__xludf.DUMMYFUNCTION("GOOGLETRANSLATE(B38, ""en"", ""de"")"),"Kann in Eisenausrüstung hergestellt werden.")</f>
        <v>Kann in Eisenausrüstung hergestellt werden.</v>
      </c>
      <c r="I38" s="23" t="str">
        <f>IFERROR(__xludf.DUMMYFUNCTION("GOOGLETRANSLATE(B38, ""en"", ""pl"")"),"Można wytwarzać w żelaznym wyposażeniu.")</f>
        <v>Można wytwarzać w żelaznym wyposażeniu.</v>
      </c>
      <c r="J38" s="25" t="str">
        <f>IFERROR(__xludf.DUMMYFUNCTION("GOOGLETRANSLATE(B38, ""en"", ""zh"")"),"可以制成铁设备。")</f>
        <v>可以制成铁设备。</v>
      </c>
      <c r="K38" s="25" t="str">
        <f>IFERROR(__xludf.DUMMYFUNCTION("GOOGLETRANSLATE(B38, ""en"", ""vi"")"),"Có thể được chế tạo thành thiết bị sắt.")</f>
        <v>Có thể được chế tạo thành thiết bị sắt.</v>
      </c>
      <c r="L38" s="42" t="str">
        <f>IFERROR(__xludf.DUMMYFUNCTION("GOOGLETRANSLATE(B38, ""en"", ""hr"")"),"Može se izraditi u željeznu opremu.")</f>
        <v>Može se izraditi u željeznu opremu.</v>
      </c>
      <c r="M38" s="26"/>
      <c r="N38" s="26"/>
      <c r="O38" s="26"/>
      <c r="P38" s="26"/>
      <c r="Q38" s="26"/>
      <c r="R38" s="26"/>
      <c r="S38" s="26"/>
      <c r="T38" s="26"/>
      <c r="U38" s="26"/>
      <c r="V38" s="26"/>
      <c r="W38" s="26"/>
      <c r="X38" s="26"/>
      <c r="Y38" s="26"/>
      <c r="Z38" s="26"/>
      <c r="AA38" s="26"/>
      <c r="AB38" s="26"/>
    </row>
    <row r="39">
      <c r="A39" s="21" t="s">
        <v>533</v>
      </c>
      <c r="B39" s="22" t="s">
        <v>534</v>
      </c>
      <c r="C39" s="23" t="str">
        <f>IFERROR(__xludf.DUMMYFUNCTION("GOOGLETRANSLATE(B39, ""en"", ""fr"")"),"Minerai de dungium")</f>
        <v>Minerai de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""tr"")"),"Dunyum cevheri")</f>
        <v>Dunyum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""pl"")"),"Ruda dunga")</f>
        <v>Ruda dunga</v>
      </c>
      <c r="J39" s="25" t="str">
        <f>IFERROR(__xludf.DUMMYFUNCTION("GOOGLETRANSLATE(B39, ""en"", ""zh"")"),"丘陵")</f>
        <v>丘陵</v>
      </c>
      <c r="K39" s="25" t="str">
        <f>IFERROR(__xludf.DUMMYFUNCTION("GOOGLETRANSLATE(B39, ""en"", ""vi"")"),"Quặng Dungium")</f>
        <v>Quặng Dungium</v>
      </c>
      <c r="L39" s="42" t="str">
        <f>IFERROR(__xludf.DUMMYFUNCTION("GOOGLETRANSLATE(B39, ""en"", ""hr"")"),"Ruda")</f>
        <v>Ruda</v>
      </c>
      <c r="M39" s="26"/>
      <c r="N39" s="26"/>
      <c r="O39" s="26"/>
      <c r="P39" s="26"/>
      <c r="Q39" s="26"/>
      <c r="R39" s="26"/>
      <c r="S39" s="26"/>
      <c r="T39" s="26"/>
      <c r="U39" s="26"/>
      <c r="V39" s="26"/>
      <c r="W39" s="26"/>
      <c r="X39" s="26"/>
      <c r="Y39" s="26"/>
      <c r="Z39" s="26"/>
      <c r="AA39" s="26"/>
      <c r="AB39" s="26"/>
    </row>
    <row r="40">
      <c r="A40" s="43" t="s">
        <v>535</v>
      </c>
      <c r="B40" s="22" t="s">
        <v>536</v>
      </c>
      <c r="C40" s="23" t="str">
        <f>IFERROR(__xludf.DUMMYFUNCTION("GOOGLETRANSLATE(B40, ""en"", ""fr"")"),"Peut être fabriqué dans une barre de dungium dans une fournaise.")</f>
        <v>Peut être fabriqué dans une barre de dungium dans une fournaise.</v>
      </c>
      <c r="D40" s="23" t="str">
        <f>IFERROR(__xludf.DUMMYFUNCTION("GOOGLETRANSLATE(B40, ""en"", ""es"")"),"Se puede elaborar en una barra de dungio en un horno.")</f>
        <v>Se puede elaborar en una barra de dungio en un horno.</v>
      </c>
      <c r="E40" s="23" t="str">
        <f>IFERROR(__xludf.DUMMYFUNCTION("GOOGLETRANSLATE(B40, ""en"", ""ru"")"),"Может быть изготовлен в брусью на пирог в печи.")</f>
        <v>Может быть изготовлен в брусью на пирог в печи.</v>
      </c>
      <c r="F40" s="23" t="str">
        <f>IFERROR(__xludf.DUMMYFUNCTION("GOOGLETRANSLATE(B40, ""en"", ""tr"")"),"Bir fırında bir Dungium çubuğuna hazırlanabilir.")</f>
        <v>Bir fırında bir Dungium çubuğuna hazırlanabilir.</v>
      </c>
      <c r="G40" s="23" t="str">
        <f>IFERROR(__xludf.DUMMYFUNCTION("GOOGLETRANSLATE(B40, ""en"", ""pt"")"),"Pode ser criado em um bar de dungium em um forno.")</f>
        <v>Pode ser criado em um bar de dungium em um forno.</v>
      </c>
      <c r="H40" s="24" t="str">
        <f>IFERROR(__xludf.DUMMYFUNCTION("GOOGLETRANSLATE(B40, ""en"", ""de"")"),"Kann in einen Dungiumstange an einem Ofen gestaltet werden.")</f>
        <v>Kann in einen Dungiumstange an einem Ofen gestaltet werden.</v>
      </c>
      <c r="I40" s="23" t="str">
        <f>IFERROR(__xludf.DUMMYFUNCTION("GOOGLETRANSLATE(B40, ""en"", ""pl"")"),"Można wykonać w barze dungium w piecu.")</f>
        <v>Można wykonać w barze dungium w piecu.</v>
      </c>
      <c r="J40" s="25" t="str">
        <f>IFERROR(__xludf.DUMMYFUNCTION("GOOGLETRANSLATE(B40, ""en"", ""zh"")"),"可以在炉子的丘轮中制成。")</f>
        <v>可以在炉子的丘轮中制成。</v>
      </c>
      <c r="K40" s="25" t="str">
        <f>IFERROR(__xludf.DUMMYFUNCTION("GOOGLETRANSLATE(B40, ""en"", ""vi"")"),"Có thể được chế tạo thành một thanh Dungium tại lò.")</f>
        <v>Có thể được chế tạo thành một thanh Dungium tại lò.</v>
      </c>
      <c r="L40" s="42" t="str">
        <f>IFERROR(__xludf.DUMMYFUNCTION("GOOGLETRANSLATE(B40, ""en"", ""hr"")"),"Može se izraditi u Dungium bar u peći.")</f>
        <v>Može se izraditi u Dungium bar u peći.</v>
      </c>
      <c r="M40" s="26"/>
      <c r="N40" s="26"/>
      <c r="O40" s="26"/>
      <c r="P40" s="26"/>
      <c r="Q40" s="26"/>
      <c r="R40" s="26"/>
      <c r="S40" s="26"/>
      <c r="T40" s="26"/>
      <c r="U40" s="26"/>
      <c r="V40" s="26"/>
      <c r="W40" s="26"/>
      <c r="X40" s="26"/>
      <c r="Y40" s="26"/>
      <c r="Z40" s="26"/>
      <c r="AA40" s="26"/>
      <c r="AB40" s="26"/>
    </row>
    <row r="41">
      <c r="A41" s="44" t="s">
        <v>537</v>
      </c>
      <c r="B41" s="22" t="s">
        <v>538</v>
      </c>
      <c r="C41" s="23" t="str">
        <f>IFERROR(__xludf.DUMMYFUNCTION("GOOGLETRANSLATE(B41, ""en"", ""fr"")"),"Barre")</f>
        <v>Barre</v>
      </c>
      <c r="D41" s="23" t="str">
        <f>IFERROR(__xludf.DUMMYFUNCTION("GOOGLETRANSLATE(B41, ""en"", ""es"")"),"Barra del dungio")</f>
        <v>Barra del dungio</v>
      </c>
      <c r="E41" s="23" t="str">
        <f>IFERROR(__xludf.DUMMYFUNCTION("GOOGLETRANSLATE(B41, ""en"", ""ru"")"),"Dungium Bar")</f>
        <v>Dungium Bar</v>
      </c>
      <c r="F41" s="23" t="str">
        <f>IFERROR(__xludf.DUMMYFUNCTION("GOOGLETRANSLATE(B41, ""en"", ""tr"")"),"Dunyum Bar")</f>
        <v>Dunyum Bar</v>
      </c>
      <c r="G41" s="23" t="str">
        <f>IFERROR(__xludf.DUMMYFUNCTION("GOOGLETRANSLATE(B41, ""en"", ""pt"")"),"Barra de dungium")</f>
        <v>Barra de dungium</v>
      </c>
      <c r="H41" s="24" t="str">
        <f>IFERROR(__xludf.DUMMYFUNCTION("GOOGLETRANSLATE(B41, ""en"", ""de"")"),"Dungiumbar")</f>
        <v>Dungiumbar</v>
      </c>
      <c r="I41" s="23" t="str">
        <f>IFERROR(__xludf.DUMMYFUNCTION("GOOGLETRANSLATE(B41, ""en"", ""pl"")"),"Dungium Bar")</f>
        <v>Dungium Bar</v>
      </c>
      <c r="J41" s="25" t="str">
        <f>IFERROR(__xludf.DUMMYFUNCTION("GOOGLETRANSLATE(B41, ""en"", ""zh"")"),"舞蹈栏")</f>
        <v>舞蹈栏</v>
      </c>
      <c r="K41" s="25" t="str">
        <f>IFERROR(__xludf.DUMMYFUNCTION("GOOGLETRANSLATE(B41, ""en"", ""vi"")"),"Thanh Dungium")</f>
        <v>Thanh Dungium</v>
      </c>
      <c r="L41" s="42" t="str">
        <f>IFERROR(__xludf.DUMMYFUNCTION("GOOGLETRANSLATE(B41, ""en"", ""hr"")"),"Bar")</f>
        <v>Bar</v>
      </c>
      <c r="M41" s="26"/>
      <c r="N41" s="26"/>
      <c r="O41" s="26"/>
      <c r="P41" s="26"/>
      <c r="Q41" s="26"/>
      <c r="R41" s="26"/>
      <c r="S41" s="26"/>
      <c r="T41" s="26"/>
      <c r="U41" s="26"/>
      <c r="V41" s="26"/>
      <c r="W41" s="26"/>
      <c r="X41" s="26"/>
      <c r="Y41" s="26"/>
      <c r="Z41" s="26"/>
      <c r="AA41" s="26"/>
      <c r="AB41" s="26"/>
    </row>
    <row r="42">
      <c r="A42" s="43" t="s">
        <v>539</v>
      </c>
      <c r="B42" s="22" t="s">
        <v>540</v>
      </c>
      <c r="C42" s="23" t="str">
        <f>IFERROR(__xludf.DUMMYFUNCTION("GOOGLETRANSLATE(B42, ""en"", ""fr"")"),"Peut être fabriqué dans un équipement de dungium.")</f>
        <v>Peut être fabriqué dans un équipement de dungium.</v>
      </c>
      <c r="D42" s="23" t="str">
        <f>IFERROR(__xludf.DUMMYFUNCTION("GOOGLETRANSLATE(B42, ""en"", ""es"")"),"Se puede elaborar en equipos del dungio.")</f>
        <v>Se puede elaborar en equipos del dungio.</v>
      </c>
      <c r="E42" s="23" t="str">
        <f>IFERROR(__xludf.DUMMYFUNCTION("GOOGLETRANSLATE(B42, ""en"", ""ru"")"),"Может быть изготовлен в оборудование Dungium.")</f>
        <v>Может быть изготовлен в оборудование Dungium.</v>
      </c>
      <c r="F42" s="23" t="str">
        <f>IFERROR(__xludf.DUMMYFUNCTION("GOOGLETRANSLATE(B42, ""en"", ""tr"")"),"Dungium ekipmanlarına hazırlanabilir.")</f>
        <v>Dungium ekipmanlarına hazırlanabilir.</v>
      </c>
      <c r="G42" s="23" t="str">
        <f>IFERROR(__xludf.DUMMYFUNCTION("GOOGLETRANSLATE(B42, ""en"", ""pt"")"),"Pode ser criado em equipamentos de dungium.")</f>
        <v>Pode ser criado em equipamentos de dungium.</v>
      </c>
      <c r="H42" s="24" t="str">
        <f>IFERROR(__xludf.DUMMYFUNCTION("GOOGLETRANSLATE(B42, ""en"", ""de"")"),"Kann in Dungiumausrüstung hergestellt werden.")</f>
        <v>Kann in Dungiumausrüstung hergestellt werden.</v>
      </c>
      <c r="I42" s="23" t="str">
        <f>IFERROR(__xludf.DUMMYFUNCTION("GOOGLETRANSLATE(B42, ""en"", ""pl"")"),"Można wytwarzać w sprzęcie dungium.")</f>
        <v>Można wytwarzać w sprzęcie dungium.</v>
      </c>
      <c r="J42" s="25" t="str">
        <f>IFERROR(__xludf.DUMMYFUNCTION("GOOGLETRANSLATE(B42, ""en"", ""zh"")"),"可以制作成舞动设备。")</f>
        <v>可以制作成舞动设备。</v>
      </c>
      <c r="K42" s="25" t="str">
        <f>IFERROR(__xludf.DUMMYFUNCTION("GOOGLETRANSLATE(B42, ""en"", ""vi"")"),"Có thể được chế tạo thành thiết bị Dungium.")</f>
        <v>Có thể được chế tạo thành thiết bị Dungium.</v>
      </c>
      <c r="L42" s="42" t="str">
        <f>IFERROR(__xludf.DUMMYFUNCTION("GOOGLETRANSLATE(B42, ""en"", ""hr"")"),"Može se izraditi u Dungium opremu.")</f>
        <v>Može se izraditi u Dungium opremu.</v>
      </c>
      <c r="M42" s="26"/>
      <c r="N42" s="26"/>
      <c r="O42" s="26"/>
      <c r="P42" s="26"/>
      <c r="Q42" s="26"/>
      <c r="R42" s="26"/>
      <c r="S42" s="26"/>
      <c r="T42" s="26"/>
      <c r="U42" s="26"/>
      <c r="V42" s="26"/>
      <c r="W42" s="26"/>
      <c r="X42" s="26"/>
      <c r="Y42" s="26"/>
      <c r="Z42" s="26"/>
      <c r="AA42" s="26"/>
      <c r="AB42" s="26"/>
    </row>
    <row r="43">
      <c r="A43" s="21" t="s">
        <v>541</v>
      </c>
      <c r="B43" s="22" t="s">
        <v>542</v>
      </c>
      <c r="C43" s="23" t="str">
        <f>IFERROR(__xludf.DUMMYFUNCTION("GOOGLETRANSLATE(B43, ""en"", ""fr"")"),"Minerai agonite")</f>
        <v>Minerai agonite</v>
      </c>
      <c r="D43" s="23" t="str">
        <f>IFERROR(__xludf.DUMMYFUNCTION("GOOGLETRANSLATE(B43, ""en"", ""es"")"),"Mineral de agonita")</f>
        <v>Mineral de agonita</v>
      </c>
      <c r="E43" s="23" t="str">
        <f>IFERROR(__xludf.DUMMYFUNCTION("GOOGLETRANSLATE(B43, ""en"", ""ru"")"),"Агонитная руда")</f>
        <v>Агонитная руда</v>
      </c>
      <c r="F43" s="23" t="str">
        <f>IFERROR(__xludf.DUMMYFUNCTION("GOOGLETRANSLATE(B43, ""en"", ""tr"")"),"Agonit cevheri")</f>
        <v>Agonit cevheri</v>
      </c>
      <c r="G43" s="23" t="str">
        <f>IFERROR(__xludf.DUMMYFUNCTION("GOOGLETRANSLATE(B43, ""en"", ""pt"")"),"Minério de agonita")</f>
        <v>Minério de agonita</v>
      </c>
      <c r="H43" s="24" t="str">
        <f>IFERROR(__xludf.DUMMYFUNCTION("GOOGLETRANSLATE(B43, ""en"", ""de"")"),"Agonite Erz")</f>
        <v>Agonite Erz</v>
      </c>
      <c r="I43" s="23" t="str">
        <f>IFERROR(__xludf.DUMMYFUNCTION("GOOGLETRANSLATE(B43, ""en"", ""pl"")"),"Ruda agonitu")</f>
        <v>Ruda agonitu</v>
      </c>
      <c r="J43" s="25" t="str">
        <f>IFERROR(__xludf.DUMMYFUNCTION("GOOGLETRANSLATE(B43, ""en"", ""zh"")"),"阴茎矿石")</f>
        <v>阴茎矿石</v>
      </c>
      <c r="K43" s="25" t="str">
        <f>IFERROR(__xludf.DUMMYFUNCTION("GOOGLETRANSLATE(B43, ""en"", ""vi"")"),"Quặng agonite")</f>
        <v>Quặng agonite</v>
      </c>
      <c r="L43" s="42" t="str">
        <f>IFERROR(__xludf.DUMMYFUNCTION("GOOGLETRANSLATE(B43, ""en"", ""hr"")"),"Agonitna ruda")</f>
        <v>Agonitna ruda</v>
      </c>
      <c r="M43" s="26"/>
      <c r="N43" s="26"/>
      <c r="O43" s="26"/>
      <c r="P43" s="26"/>
      <c r="Q43" s="26"/>
      <c r="R43" s="26"/>
      <c r="S43" s="26"/>
      <c r="T43" s="26"/>
      <c r="U43" s="26"/>
      <c r="V43" s="26"/>
      <c r="W43" s="26"/>
      <c r="X43" s="26"/>
      <c r="Y43" s="26"/>
      <c r="Z43" s="26"/>
      <c r="AA43" s="26"/>
      <c r="AB43" s="26"/>
    </row>
    <row r="44">
      <c r="A44" s="43" t="s">
        <v>543</v>
      </c>
      <c r="B44" s="22" t="s">
        <v>544</v>
      </c>
      <c r="C44" s="23" t="str">
        <f>IFERROR(__xludf.DUMMYFUNCTION("GOOGLETRANSLATE(B44, ""en"", ""fr"")"),"Peut être fabriqué dans une barre d'agonite dans un four.")</f>
        <v>Peut être fabriqué dans une barre d'agonite dans un four.</v>
      </c>
      <c r="D44" s="23" t="str">
        <f>IFERROR(__xludf.DUMMYFUNCTION("GOOGLETRANSLATE(B44, ""en"", ""es"")"),"Se puede elaborar en una barra agonita en un horno.")</f>
        <v>Se puede elaborar en una barra agonita en un horno.</v>
      </c>
      <c r="E44" s="23" t="str">
        <f>IFERROR(__xludf.DUMMYFUNCTION("GOOGLETRANSLATE(B44, ""en"", ""ru"")"),"Может быть изготовлен в агонитовый бар в печи.")</f>
        <v>Может быть изготовлен в агонитовый бар в печи.</v>
      </c>
      <c r="F44" s="23" t="str">
        <f>IFERROR(__xludf.DUMMYFUNCTION("GOOGLETRANSLATE(B44, ""en"", ""tr"")"),"Bir fırında bir agonit çubuğuna hazırlanabilir.")</f>
        <v>Bir fırında bir agonit çubuğuna hazırlanabilir.</v>
      </c>
      <c r="G44" s="23" t="str">
        <f>IFERROR(__xludf.DUMMYFUNCTION("GOOGLETRANSLATE(B44, ""en"", ""pt"")"),"Pode ser criado em um bar de agonita em um forno.")</f>
        <v>Pode ser criado em um bar de agonita em um forno.</v>
      </c>
      <c r="H44" s="24" t="str">
        <f>IFERROR(__xludf.DUMMYFUNCTION("GOOGLETRANSLATE(B44, ""en"", ""de"")"),"Kann in einen Agonite -Bar an einem Ofen gefertigt werden.")</f>
        <v>Kann in einen Agonite -Bar an einem Ofen gefertigt werden.</v>
      </c>
      <c r="I44" s="23" t="str">
        <f>IFERROR(__xludf.DUMMYFUNCTION("GOOGLETRANSLATE(B44, ""en"", ""pl"")"),"Można wykonać w batoniku w piecu.")</f>
        <v>Można wykonać w batoniku w piecu.</v>
      </c>
      <c r="J44" s="25" t="str">
        <f>IFERROR(__xludf.DUMMYFUNCTION("GOOGLETRANSLATE(B44, ""en"", ""zh"")"),"可以在炉子的灼痛棒中制成。")</f>
        <v>可以在炉子的灼痛棒中制成。</v>
      </c>
      <c r="K44" s="25" t="str">
        <f>IFERROR(__xludf.DUMMYFUNCTION("GOOGLETRANSLATE(B44, ""en"", ""vi"")"),"Có thể được chế tạo thành một thanh agonite tại lò.")</f>
        <v>Có thể được chế tạo thành một thanh agonite tại lò.</v>
      </c>
      <c r="L44" s="42" t="str">
        <f>IFERROR(__xludf.DUMMYFUNCTION("GOOGLETRANSLATE(B44, ""en"", ""hr"")"),"Može se izraditi u agonitskom baru u peći.")</f>
        <v>Može se izraditi u agonitskom baru u peći.</v>
      </c>
      <c r="M44" s="26"/>
      <c r="N44" s="26"/>
      <c r="O44" s="26"/>
      <c r="P44" s="26"/>
      <c r="Q44" s="26"/>
      <c r="R44" s="26"/>
      <c r="S44" s="26"/>
      <c r="T44" s="26"/>
      <c r="U44" s="26"/>
      <c r="V44" s="26"/>
      <c r="W44" s="26"/>
      <c r="X44" s="26"/>
      <c r="Y44" s="26"/>
      <c r="Z44" s="26"/>
      <c r="AA44" s="26"/>
      <c r="AB44" s="26"/>
    </row>
    <row r="45">
      <c r="A45" s="44" t="s">
        <v>545</v>
      </c>
      <c r="B45" s="22" t="s">
        <v>546</v>
      </c>
      <c r="C45" s="23" t="str">
        <f>IFERROR(__xludf.DUMMYFUNCTION("GOOGLETRANSLATE(B45, ""en"", ""fr"")"),"Barre d'agonite")</f>
        <v>Barre d'agonite</v>
      </c>
      <c r="D45" s="23" t="str">
        <f>IFERROR(__xludf.DUMMYFUNCTION("GOOGLETRANSLATE(B45, ""en"", ""es"")"),"Barra agonita")</f>
        <v>Barra agonita</v>
      </c>
      <c r="E45" s="23" t="str">
        <f>IFERROR(__xludf.DUMMYFUNCTION("GOOGLETRANSLATE(B45, ""en"", ""ru"")"),"Агонит Бар")</f>
        <v>Агонит Бар</v>
      </c>
      <c r="F45" s="23" t="str">
        <f>IFERROR(__xludf.DUMMYFUNCTION("GOOGLETRANSLATE(B45, ""en"", ""tr"")"),"Agonit çubuğu")</f>
        <v>Agonit çubuğu</v>
      </c>
      <c r="G45" s="23" t="str">
        <f>IFERROR(__xludf.DUMMYFUNCTION("GOOGLETRANSLATE(B45, ""en"", ""pt"")"),"Barra de agonita")</f>
        <v>Barra de agonita</v>
      </c>
      <c r="H45" s="24" t="str">
        <f>IFERROR(__xludf.DUMMYFUNCTION("GOOGLETRANSLATE(B45, ""en"", ""de"")"),"Agonite Bar")</f>
        <v>Agonite Bar</v>
      </c>
      <c r="I45" s="23" t="str">
        <f>IFERROR(__xludf.DUMMYFUNCTION("GOOGLETRANSLATE(B45, ""en"", ""pl"")"),"Agonite Bar")</f>
        <v>Agonite Bar</v>
      </c>
      <c r="J45" s="25" t="str">
        <f>IFERROR(__xludf.DUMMYFUNCTION("GOOGLETRANSLATE(B45, ""en"", ""zh"")"),"激动剂棒")</f>
        <v>激动剂棒</v>
      </c>
      <c r="K45" s="25" t="str">
        <f>IFERROR(__xludf.DUMMYFUNCTION("GOOGLETRANSLATE(B45, ""en"", ""vi"")"),"Thanh agonite")</f>
        <v>Thanh agonite</v>
      </c>
      <c r="L45" s="42" t="str">
        <f>IFERROR(__xludf.DUMMYFUNCTION("GOOGLETRANSLATE(B45, ""en"", ""hr"")"),"Bar")</f>
        <v>Bar</v>
      </c>
      <c r="M45" s="26"/>
      <c r="N45" s="26"/>
      <c r="O45" s="26"/>
      <c r="P45" s="26"/>
      <c r="Q45" s="26"/>
      <c r="R45" s="26"/>
      <c r="S45" s="26"/>
      <c r="T45" s="26"/>
      <c r="U45" s="26"/>
      <c r="V45" s="26"/>
      <c r="W45" s="26"/>
      <c r="X45" s="26"/>
      <c r="Y45" s="26"/>
      <c r="Z45" s="26"/>
      <c r="AA45" s="26"/>
      <c r="AB45" s="26"/>
    </row>
    <row r="46">
      <c r="A46" s="43" t="s">
        <v>547</v>
      </c>
      <c r="B46" s="22" t="s">
        <v>548</v>
      </c>
      <c r="C46" s="23" t="str">
        <f>IFERROR(__xludf.DUMMYFUNCTION("GOOGLETRANSLATE(B46, ""en"", ""fr"")"),"Peut être fabriqué dans un équipement agonite.")</f>
        <v>Peut être fabriqué dans un équipement agonite.</v>
      </c>
      <c r="D46" s="23" t="str">
        <f>IFERROR(__xludf.DUMMYFUNCTION("GOOGLETRANSLATE(B46, ""en"", ""es"")"),"Se puede elaborar en equipos de agonita.")</f>
        <v>Se puede elaborar en equipos de agonita.</v>
      </c>
      <c r="E46" s="23" t="str">
        <f>IFERROR(__xludf.DUMMYFUNCTION("GOOGLETRANSLATE(B46, ""en"", ""ru"")"),"Может быть изготовлен в агонитовое оборудование.")</f>
        <v>Может быть изготовлен в агонитовое оборудование.</v>
      </c>
      <c r="F46" s="23" t="str">
        <f>IFERROR(__xludf.DUMMYFUNCTION("GOOGLETRANSLATE(B46, ""en"", ""tr"")"),"Agonit ekipmanına hazırlanabilir.")</f>
        <v>Agonit ekipmanına hazırlanabilir.</v>
      </c>
      <c r="G46" s="23" t="str">
        <f>IFERROR(__xludf.DUMMYFUNCTION("GOOGLETRANSLATE(B46, ""en"", ""pt"")"),"Pode ser criado em equipamentos de agonita.")</f>
        <v>Pode ser criado em equipamentos de agonita.</v>
      </c>
      <c r="H46" s="24" t="str">
        <f>IFERROR(__xludf.DUMMYFUNCTION("GOOGLETRANSLATE(B46, ""en"", ""de"")"),"Kann in Agonite -Geräte hergestellt werden.")</f>
        <v>Kann in Agonite -Geräte hergestellt werden.</v>
      </c>
      <c r="I46" s="23" t="str">
        <f>IFERROR(__xludf.DUMMYFUNCTION("GOOGLETRANSLATE(B46, ""en"", ""pl"")"),"Można wykonać w sprzęcie agonitu.")</f>
        <v>Można wykonać w sprzęcie agonitu.</v>
      </c>
      <c r="J46" s="25" t="str">
        <f>IFERROR(__xludf.DUMMYFUNCTION("GOOGLETRANSLATE(B46, ""en"", ""zh"")"),"可以制作成are脚的设备。")</f>
        <v>可以制作成are脚的设备。</v>
      </c>
      <c r="K46" s="25" t="str">
        <f>IFERROR(__xludf.DUMMYFUNCTION("GOOGLETRANSLATE(B46, ""en"", ""vi"")"),"Có thể được chế tạo thành thiết bị agonite.")</f>
        <v>Có thể được chế tạo thành thiết bị agonite.</v>
      </c>
      <c r="L46" s="42" t="str">
        <f>IFERROR(__xludf.DUMMYFUNCTION("GOOGLETRANSLATE(B46, ""en"", ""hr"")"),"Može se izraditi u agonitskoj opremi.")</f>
        <v>Može se izraditi u agonitskoj opremi.</v>
      </c>
      <c r="M46" s="26"/>
      <c r="N46" s="26"/>
      <c r="O46" s="26"/>
      <c r="P46" s="26"/>
      <c r="Q46" s="26"/>
      <c r="R46" s="26"/>
      <c r="S46" s="26"/>
      <c r="T46" s="26"/>
      <c r="U46" s="26"/>
      <c r="V46" s="26"/>
      <c r="W46" s="26"/>
      <c r="X46" s="26"/>
      <c r="Y46" s="26"/>
      <c r="Z46" s="26"/>
      <c r="AA46" s="26"/>
      <c r="AB46" s="26"/>
    </row>
    <row r="47">
      <c r="A47" s="43" t="s">
        <v>549</v>
      </c>
      <c r="B47" s="22" t="s">
        <v>550</v>
      </c>
      <c r="C47" s="23" t="str">
        <f>IFERROR(__xludf.DUMMYFUNCTION("GOOGLETRANSLATE(B47, ""en"", ""fr"")"),"Minerai noctis")</f>
        <v>Minerai noctis</v>
      </c>
      <c r="D47" s="23" t="str">
        <f>IFERROR(__xludf.DUMMYFUNCTION("GOOGLETRANSLATE(B47, ""en"", ""es"")"),"Mineral noctis")</f>
        <v>Mineral noctis</v>
      </c>
      <c r="E47" s="23" t="str">
        <f>IFERROR(__xludf.DUMMYFUNCTION("GOOGLETRANSLATE(B47, ""en"", ""ru"")"),"Noctis ore")</f>
        <v>Noctis ore</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 ore")</f>
        <v>Noctis ore</v>
      </c>
      <c r="I47" s="23" t="str">
        <f>IFERROR(__xludf.DUMMYFUNCTION("GOOGLETRANSLATE(B47, ""en"", ""pl"")"),"Ruda noctis")</f>
        <v>Ruda noctis</v>
      </c>
      <c r="J47" s="25" t="str">
        <f>IFERROR(__xludf.DUMMYFUNCTION("GOOGLETRANSLATE(B47, ""en"", ""zh"")"),"Noctis矿石")</f>
        <v>Noctis矿石</v>
      </c>
      <c r="K47" s="25" t="str">
        <f>IFERROR(__xludf.DUMMYFUNCTION("GOOGLETRANSLATE(B47, ""en"", ""vi"")"),"Noctis Ore")</f>
        <v>Noctis Ore</v>
      </c>
      <c r="L47" s="42" t="str">
        <f>IFERROR(__xludf.DUMMYFUNCTION("GOOGLETRANSLATE(B47, ""en"", ""hr"")"),"Noctis ruda")</f>
        <v>Noctis ruda</v>
      </c>
      <c r="M47" s="26"/>
      <c r="N47" s="26"/>
      <c r="O47" s="26"/>
      <c r="P47" s="26"/>
      <c r="Q47" s="26"/>
      <c r="R47" s="26"/>
      <c r="S47" s="26"/>
      <c r="T47" s="26"/>
      <c r="U47" s="26"/>
      <c r="V47" s="26"/>
      <c r="W47" s="26"/>
      <c r="X47" s="26"/>
      <c r="Y47" s="26"/>
      <c r="Z47" s="26"/>
      <c r="AA47" s="26"/>
      <c r="AB47" s="26"/>
    </row>
    <row r="48">
      <c r="A48" s="43" t="s">
        <v>551</v>
      </c>
      <c r="B48" s="22" t="s">
        <v>552</v>
      </c>
      <c r="C48" s="23" t="str">
        <f>IFERROR(__xludf.DUMMYFUNCTION("GOOGLETRANSLATE(B48, ""en"", ""fr"")"),"Peut être fabriqué dans une barre Noctis dans un four.")</f>
        <v>Peut être fabriqué dans une barre Noctis dans un four.</v>
      </c>
      <c r="D48" s="23" t="str">
        <f>IFERROR(__xludf.DUMMYFUNCTION("GOOGLETRANSLATE(B48, ""en"", ""es"")"),"Se puede elaborar en una barra de Noctis en un horno.")</f>
        <v>Se puede elaborar en una barra de Noctis en un horno.</v>
      </c>
      <c r="E48" s="23" t="str">
        <f>IFERROR(__xludf.DUMMYFUNCTION("GOOGLETRANSLATE(B48, ""en"", ""ru"")"),"Может быть изготовлен в батонку Noctis в печи.")</f>
        <v>Может быть изготовлен в батонку Noctis в печи.</v>
      </c>
      <c r="F48" s="23" t="str">
        <f>IFERROR(__xludf.DUMMYFUNCTION("GOOGLETRANSLATE(B48, ""en"", ""tr"")"),"Bir fırında bir Noctis çubuğuna hazırlanabilir.")</f>
        <v>Bir fırında bir Noctis çubuğuna hazırlanabilir.</v>
      </c>
      <c r="G48" s="23" t="str">
        <f>IFERROR(__xludf.DUMMYFUNCTION("GOOGLETRANSLATE(B48, ""en"", ""pt"")"),"Pode ser criado em um bar noctis em um forno.")</f>
        <v>Pode ser criado em um bar noctis em um forno.</v>
      </c>
      <c r="H48" s="24" t="str">
        <f>IFERROR(__xludf.DUMMYFUNCTION("GOOGLETRANSLATE(B48, ""en"", ""de"")"),"Kann in einen Noctis -Bar an einem Ofen gestaltet werden.")</f>
        <v>Kann in einen Noctis -Bar an einem Ofen gestaltet werden.</v>
      </c>
      <c r="I48" s="23" t="str">
        <f>IFERROR(__xludf.DUMMYFUNCTION("GOOGLETRANSLATE(B48, ""en"", ""pl"")"),"Można wykonać w barze Noctis w piecu.")</f>
        <v>Można wykonać w barze Noctis w piecu.</v>
      </c>
      <c r="J48" s="25" t="str">
        <f>IFERROR(__xludf.DUMMYFUNCTION("GOOGLETRANSLATE(B48, ""en"", ""zh"")"),"可以在炉子的Noctis酒吧制成。")</f>
        <v>可以在炉子的Noctis酒吧制成。</v>
      </c>
      <c r="K48" s="25" t="str">
        <f>IFERROR(__xludf.DUMMYFUNCTION("GOOGLETRANSLATE(B48, ""en"", ""vi"")"),"Có thể được chế tạo thành một thanh Noctis tại lò.")</f>
        <v>Có thể được chế tạo thành một thanh Noctis tại lò.</v>
      </c>
      <c r="L48" s="42" t="str">
        <f>IFERROR(__xludf.DUMMYFUNCTION("GOOGLETRANSLATE(B48, ""en"", ""hr"")"),"Može se izraditi u noctis baru u peći.")</f>
        <v>Može se izraditi u noctis baru u peći.</v>
      </c>
      <c r="M48" s="26"/>
      <c r="N48" s="26"/>
      <c r="O48" s="26"/>
      <c r="P48" s="26"/>
      <c r="Q48" s="26"/>
      <c r="R48" s="26"/>
      <c r="S48" s="26"/>
      <c r="T48" s="26"/>
      <c r="U48" s="26"/>
      <c r="V48" s="26"/>
      <c r="W48" s="26"/>
      <c r="X48" s="26"/>
      <c r="Y48" s="26"/>
      <c r="Z48" s="26"/>
      <c r="AA48" s="26"/>
      <c r="AB48" s="26"/>
    </row>
    <row r="49">
      <c r="A49" s="43" t="s">
        <v>553</v>
      </c>
      <c r="B49" s="22" t="s">
        <v>554</v>
      </c>
      <c r="C49" s="23" t="str">
        <f>IFERROR(__xludf.DUMMYFUNCTION("GOOGLETRANSLATE(B49, ""en"", ""fr"")"),"Noctis Bar")</f>
        <v>Noctis Bar</v>
      </c>
      <c r="D49" s="23" t="str">
        <f>IFERROR(__xludf.DUMMYFUNCTION("GOOGLETRANSLATE(B49, ""en"", ""es"")"),"Barra de noctis")</f>
        <v>Barra de noctis</v>
      </c>
      <c r="E49" s="23" t="str">
        <f>IFERROR(__xludf.DUMMYFUNCTION("GOOGLETRANSLATE(B49, ""en"", ""ru"")"),"Noctis Bar")</f>
        <v>Noctis Bar</v>
      </c>
      <c r="F49" s="23" t="str">
        <f>IFERROR(__xludf.DUMMYFUNCTION("GOOGLETRANSLATE(B49, ""en"", ""tr"")"),"Noctis Bar")</f>
        <v>Noctis Bar</v>
      </c>
      <c r="G49" s="23" t="str">
        <f>IFERROR(__xludf.DUMMYFUNCTION("GOOGLETRANSLATE(B49, ""en"", ""pt"")"),"Noctis Bar")</f>
        <v>Noctis Bar</v>
      </c>
      <c r="H49" s="24" t="str">
        <f>IFERROR(__xludf.DUMMYFUNCTION("GOOGLETRANSLATE(B49, ""en"", ""de"")"),"Noctis Bar")</f>
        <v>Noctis Bar</v>
      </c>
      <c r="I49" s="23" t="str">
        <f>IFERROR(__xludf.DUMMYFUNCTION("GOOGLETRANSLATE(B49, ""en"", ""pl"")"),"Pasek Noctis")</f>
        <v>Pasek Noctis</v>
      </c>
      <c r="J49" s="25" t="str">
        <f>IFERROR(__xludf.DUMMYFUNCTION("GOOGLETRANSLATE(B49, ""en"", ""zh"")"),"Noctis Bar")</f>
        <v>Noctis Bar</v>
      </c>
      <c r="K49" s="25" t="str">
        <f>IFERROR(__xludf.DUMMYFUNCTION("GOOGLETRANSLATE(B49, ""en"", ""vi"")"),"Thanh Noctis")</f>
        <v>Thanh Noctis</v>
      </c>
      <c r="L49" s="42" t="str">
        <f>IFERROR(__xludf.DUMMYFUNCTION("GOOGLETRANSLATE(B49, ""en"", ""hr"")"),"Noctis bar")</f>
        <v>Noctis bar</v>
      </c>
      <c r="M49" s="26"/>
      <c r="N49" s="26"/>
      <c r="O49" s="26"/>
      <c r="P49" s="26"/>
      <c r="Q49" s="26"/>
      <c r="R49" s="26"/>
      <c r="S49" s="26"/>
      <c r="T49" s="26"/>
      <c r="U49" s="26"/>
      <c r="V49" s="26"/>
      <c r="W49" s="26"/>
      <c r="X49" s="26"/>
      <c r="Y49" s="26"/>
      <c r="Z49" s="26"/>
      <c r="AA49" s="26"/>
      <c r="AB49" s="26"/>
    </row>
    <row r="50">
      <c r="A50" s="43" t="s">
        <v>555</v>
      </c>
      <c r="B50" s="22" t="s">
        <v>556</v>
      </c>
      <c r="C50" s="23" t="str">
        <f>IFERROR(__xludf.DUMMYFUNCTION("GOOGLETRANSLATE(B50, ""en"", ""fr"")"),"Peut être fabriqué dans des équipements Noctis.")</f>
        <v>Peut être fabriqué dans des équipements Noctis.</v>
      </c>
      <c r="D50" s="23" t="str">
        <f>IFERROR(__xludf.DUMMYFUNCTION("GOOGLETRANSLATE(B50, ""en"", ""es"")"),"Se puede elaborar en equipos de Noctis.")</f>
        <v>Se puede elaborar en equipos de Noctis.</v>
      </c>
      <c r="E50" s="23" t="str">
        <f>IFERROR(__xludf.DUMMYFUNCTION("GOOGLETRANSLATE(B50, ""en"", ""ru"")"),"Может быть изготовлен в оборудование Noctis.")</f>
        <v>Может быть изготовлен в оборудование Noctis.</v>
      </c>
      <c r="F50" s="23" t="str">
        <f>IFERROR(__xludf.DUMMYFUNCTION("GOOGLETRANSLATE(B50, ""en"", ""tr"")"),"Noctis ekipmanına hazırlanabilir.")</f>
        <v>Noctis ekipmanına hazırlanabilir.</v>
      </c>
      <c r="G50" s="23" t="str">
        <f>IFERROR(__xludf.DUMMYFUNCTION("GOOGLETRANSLATE(B50, ""en"", ""pt"")"),"Pode ser criado em equipamentos Noctis.")</f>
        <v>Pode ser criado em equipamentos Noctis.</v>
      </c>
      <c r="H50" s="24" t="str">
        <f>IFERROR(__xludf.DUMMYFUNCTION("GOOGLETRANSLATE(B50, ""en"", ""de"")"),"Kann in Noctis -Geräte hergestellt werden.")</f>
        <v>Kann in Noctis -Geräte hergestellt werden.</v>
      </c>
      <c r="I50" s="23" t="str">
        <f>IFERROR(__xludf.DUMMYFUNCTION("GOOGLETRANSLATE(B50, ""en"", ""pl"")"),"Można wykonać w sprzęcie Noctis.")</f>
        <v>Można wykonać w sprzęcie Noctis.</v>
      </c>
      <c r="J50" s="25" t="str">
        <f>IFERROR(__xludf.DUMMYFUNCTION("GOOGLETRANSLATE(B50, ""en"", ""zh"")"),"可以制成Noctis设备。")</f>
        <v>可以制成Noctis设备。</v>
      </c>
      <c r="K50" s="25" t="str">
        <f>IFERROR(__xludf.DUMMYFUNCTION("GOOGLETRANSLATE(B50, ""en"", ""vi"")"),"Có thể được chế tạo thành thiết bị Noctis.")</f>
        <v>Có thể được chế tạo thành thiết bị Noctis.</v>
      </c>
      <c r="L50" s="42" t="str">
        <f>IFERROR(__xludf.DUMMYFUNCTION("GOOGLETRANSLATE(B50, ""en"", ""hr"")"),"Može se izraditi u Noctis opremu.")</f>
        <v>Može se izraditi u Noctis opremu.</v>
      </c>
      <c r="M50" s="26"/>
      <c r="N50" s="26"/>
      <c r="O50" s="26"/>
      <c r="P50" s="26"/>
      <c r="Q50" s="26"/>
      <c r="R50" s="26"/>
      <c r="S50" s="26"/>
      <c r="T50" s="26"/>
      <c r="U50" s="26"/>
      <c r="V50" s="26"/>
      <c r="W50" s="26"/>
      <c r="X50" s="26"/>
      <c r="Y50" s="26"/>
      <c r="Z50" s="26"/>
      <c r="AA50" s="26"/>
      <c r="AB50" s="26"/>
    </row>
    <row r="51">
      <c r="A51" s="43" t="s">
        <v>557</v>
      </c>
      <c r="B51" s="22" t="s">
        <v>558</v>
      </c>
      <c r="C51" s="23" t="str">
        <f>IFERROR(__xludf.DUMMYFUNCTION("GOOGLETRANSLATE(B51, ""en"", ""fr"")"),"Matière principale")</f>
        <v>Matière principale</v>
      </c>
      <c r="D51" s="23" t="str">
        <f>IFERROR(__xludf.DUMMYFUNCTION("GOOGLETRANSLATE(B51, ""en"", ""es"")"),"Materia prima")</f>
        <v>Materia prima</v>
      </c>
      <c r="E51" s="23" t="str">
        <f>IFERROR(__xludf.DUMMYFUNCTION("GOOGLETRANSLATE(B51, ""en"", ""ru"")"),"Главное дело")</f>
        <v>Главное дело</v>
      </c>
      <c r="F51" s="23" t="str">
        <f>IFERROR(__xludf.DUMMYFUNCTION("GOOGLETRANSLATE(B51, ""en"", ""tr"")"),"Ana madde")</f>
        <v>Ana madde</v>
      </c>
      <c r="G51" s="23" t="str">
        <f>IFERROR(__xludf.DUMMYFUNCTION("GOOGLETRANSLATE(B51, ""en"", ""pt"")"),"Matéria principal")</f>
        <v>Matéria principal</v>
      </c>
      <c r="H51" s="24" t="str">
        <f>IFERROR(__xludf.DUMMYFUNCTION("GOOGLETRANSLATE(B51, ""en"", ""de"")"),"Hauptsache")</f>
        <v>Hauptsache</v>
      </c>
      <c r="I51" s="23" t="str">
        <f>IFERROR(__xludf.DUMMYFUNCTION("GOOGLETRANSLATE(B51, ""en"", ""pl"")"),"Materia pierwsza")</f>
        <v>Materia pierwsza</v>
      </c>
      <c r="J51" s="25" t="str">
        <f>IFERROR(__xludf.DUMMYFUNCTION("GOOGLETRANSLATE(B51, ""en"", ""zh"")"),"主要问题")</f>
        <v>主要问题</v>
      </c>
      <c r="K51" s="25" t="str">
        <f>IFERROR(__xludf.DUMMYFUNCTION("GOOGLETRANSLATE(B51, ""en"", ""vi"")"),"Vật chất chính")</f>
        <v>Vật chất chính</v>
      </c>
      <c r="L51" s="42" t="str">
        <f>IFERROR(__xludf.DUMMYFUNCTION("GOOGLETRANSLATE(B51, ""en"", ""hr"")"),"Glavna stvar")</f>
        <v>Glavna stvar</v>
      </c>
      <c r="M51" s="26"/>
      <c r="N51" s="26"/>
      <c r="O51" s="26"/>
      <c r="P51" s="26"/>
      <c r="Q51" s="26"/>
      <c r="R51" s="26"/>
      <c r="S51" s="26"/>
      <c r="T51" s="26"/>
      <c r="U51" s="26"/>
      <c r="V51" s="26"/>
      <c r="W51" s="26"/>
      <c r="X51" s="26"/>
      <c r="Y51" s="26"/>
      <c r="Z51" s="26"/>
      <c r="AA51" s="26"/>
      <c r="AB51" s="26"/>
    </row>
    <row r="52">
      <c r="A52" s="43" t="s">
        <v>559</v>
      </c>
      <c r="B52" s="22" t="s">
        <v>560</v>
      </c>
      <c r="C52" s="23" t="str">
        <f>IFERROR(__xludf.DUMMYFUNCTION("GOOGLETRANSLATE(B52, ""en"", ""fr"")"),"Une substance mystérieuse qui peut prendre toute forme que l'utilisateur désire.")</f>
        <v>Une substance mystérieuse qui peut prendre toute forme que l'utilisateur désire.</v>
      </c>
      <c r="D52" s="23" t="str">
        <f>IFERROR(__xludf.DUMMYFUNCTION("GOOGLETRANSLATE(B52, ""en"", ""es"")"),"Una sustancia misteriosa que puede asumir cualquier forma que el usuario desee.")</f>
        <v>Una sustancia misteriosa que puede asumir cualquier forma que el usuario desee.</v>
      </c>
      <c r="E52" s="23" t="str">
        <f>IFERROR(__xludf.DUMMYFUNCTION("GOOGLETRANSLATE(B52, ""en"", ""ru"")"),"Загадочное вещество, которое может принять любую форму, которую желает пользователь.")</f>
        <v>Загадочное вещество, которое может принять любую форму, которую желает пользователь.</v>
      </c>
      <c r="F52" s="23" t="str">
        <f>IFERROR(__xludf.DUMMYFUNCTION("GOOGLETRANSLATE(B52, ""en"", ""tr"")"),"Kullanıcının istediği herhangi bir formu üstlenebilen gizemli bir madde.")</f>
        <v>Kullanıcının istediği herhangi bir formu üstlenebilen gizemli bir madde.</v>
      </c>
      <c r="G52" s="23" t="str">
        <f>IFERROR(__xludf.DUMMYFUNCTION("GOOGLETRANSLATE(B52, ""en"", ""pt"")"),"Uma substância misteriosa que pode assumir qualquer forma que o usuário deseje.")</f>
        <v>Uma substância misteriosa que pode assumir qualquer forma que o usuário deseje.</v>
      </c>
      <c r="H52" s="24" t="str">
        <f>IFERROR(__xludf.DUMMYFUNCTION("GOOGLETRANSLATE(B52, ""en"", ""de"")"),"Eine mysteriöse Substanz, die jede Form annehmen kann, die die Benutzer wünschen.")</f>
        <v>Eine mysteriöse Substanz, die jede Form annehmen kann, die die Benutzer wünschen.</v>
      </c>
      <c r="I52" s="23" t="str">
        <f>IFERROR(__xludf.DUMMYFUNCTION("GOOGLETRANSLATE(B52, ""en"", ""pl"")"),"Tajemnicza substancja, która może przyjąć dowolną formę, której pragnie użytkownik.")</f>
        <v>Tajemnicza substancja, która może przyjąć dowolną formę, której pragnie użytkownik.</v>
      </c>
      <c r="J52" s="25" t="str">
        <f>IFERROR(__xludf.DUMMYFUNCTION("GOOGLETRANSLATE(B52, ""en"", ""zh"")"),"可以采用用户想要的任何形式的神秘物质。")</f>
        <v>可以采用用户想要的任何形式的神秘物质。</v>
      </c>
      <c r="K52" s="25" t="str">
        <f>IFERROR(__xludf.DUMMYFUNCTION("GOOGLETRANSLATE(B52, ""en"", ""vi"")"),"Một chất bí ẩn có thể đảm nhận bất kỳ hình thức nào mà người dùng mong muốn.")</f>
        <v>Một chất bí ẩn có thể đảm nhận bất kỳ hình thức nào mà người dùng mong muốn.</v>
      </c>
      <c r="L52" s="42" t="str">
        <f>IFERROR(__xludf.DUMMYFUNCTION("GOOGLETRANSLATE(B52, ""en"", ""hr"")"),"Tajanstvena tvar koja može poprimiti bilo koji oblik koji korisnici žele.")</f>
        <v>Tajanstvena tvar koja može poprimiti bilo koji oblik koji korisnici žele.</v>
      </c>
      <c r="M52" s="26"/>
      <c r="N52" s="26"/>
      <c r="O52" s="26"/>
      <c r="P52" s="26"/>
      <c r="Q52" s="26"/>
      <c r="R52" s="26"/>
      <c r="S52" s="26"/>
      <c r="T52" s="26"/>
      <c r="U52" s="26"/>
      <c r="V52" s="26"/>
      <c r="W52" s="26"/>
      <c r="X52" s="26"/>
      <c r="Y52" s="26"/>
      <c r="Z52" s="26"/>
      <c r="AA52" s="26"/>
      <c r="AB52" s="26"/>
    </row>
    <row r="53">
      <c r="A53" s="43" t="s">
        <v>561</v>
      </c>
      <c r="B53" s="22" t="s">
        <v>562</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""ru"")"),"Сосновые журналы")</f>
        <v>Сосновые журналы</v>
      </c>
      <c r="F53" s="23" t="str">
        <f>IFERROR(__xludf.DUMMYFUNCTION("GOOGLETRANSLATE(B53, ""en"", ""tr"")"),"Çam kütükleri")</f>
        <v>Çam kütükleri</v>
      </c>
      <c r="G53" s="23" t="str">
        <f>IFERROR(__xludf.DUMMYFUNCTION("GOOGLETRANSLATE(B53, ""en"", ""pt"")"),"Logs de pinheiro")</f>
        <v>Logs de pinheiro</v>
      </c>
      <c r="H53" s="24" t="str">
        <f>IFERROR(__xludf.DUMMYFUNCTION("GOOGLETRANSLATE(B53, ""en"", ""de"")"),"Kiefernprotokolle")</f>
        <v>Kiefernprotokolle</v>
      </c>
      <c r="I53" s="23" t="str">
        <f>IFERROR(__xludf.DUMMYFUNCTION("GOOGLETRANSLATE(B53, ""en"", ""pl"")"),"Dzienniki sosny")</f>
        <v>Dzienniki sosny</v>
      </c>
      <c r="J53" s="25" t="str">
        <f>IFERROR(__xludf.DUMMYFUNCTION("GOOGLETRANSLATE(B53, ""en"", ""zh"")"),"松木")</f>
        <v>松木</v>
      </c>
      <c r="K53" s="25" t="str">
        <f>IFERROR(__xludf.DUMMYFUNCTION("GOOGLETRANSLATE(B53, ""en"", ""vi"")"),"Nhật ký thông")</f>
        <v>Nhật ký thông</v>
      </c>
      <c r="L53" s="42" t="str">
        <f>IFERROR(__xludf.DUMMYFUNCTION("GOOGLETRANSLATE(B53, ""en"", ""hr"")"),"Borovi trupci")</f>
        <v>Borovi trupci</v>
      </c>
      <c r="M53" s="26"/>
      <c r="N53" s="26"/>
      <c r="O53" s="26"/>
      <c r="P53" s="26"/>
      <c r="Q53" s="26"/>
      <c r="R53" s="26"/>
      <c r="S53" s="26"/>
      <c r="T53" s="26"/>
      <c r="U53" s="26"/>
      <c r="V53" s="26"/>
      <c r="W53" s="26"/>
      <c r="X53" s="26"/>
      <c r="Y53" s="26"/>
      <c r="Z53" s="26"/>
      <c r="AA53" s="26"/>
      <c r="AB53" s="26"/>
    </row>
    <row r="54">
      <c r="A54" s="43" t="s">
        <v>563</v>
      </c>
      <c r="B54" s="22" t="s">
        <v>564</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Handwerksmaterial.")</f>
        <v>Ein grundlegendes Handwerksmaterial.</v>
      </c>
      <c r="I54" s="23" t="str">
        <f>IFERROR(__xludf.DUMMYFUNCTION("GOOGLETRANSLATE(B54, ""en"", ""pl"")"),"Podstawowy materiał rzemieślniczy.")</f>
        <v>Podstawowy materiał rzemieślniczy.</v>
      </c>
      <c r="J54" s="25" t="str">
        <f>IFERROR(__xludf.DUMMYFUNCTION("GOOGLETRANSLATE(B54, ""en"", ""zh"")"),"基本的制作材料。")</f>
        <v>基本的制作材料。</v>
      </c>
      <c r="K54" s="25" t="str">
        <f>IFERROR(__xludf.DUMMYFUNCTION("GOOGLETRANSLATE(B54, ""en"", ""vi"")"),"Một vật liệu chế tạo cơ bản.")</f>
        <v>Một vật liệu chế tạo cơ bản.</v>
      </c>
      <c r="L54" s="42" t="str">
        <f>IFERROR(__xludf.DUMMYFUNCTION("GOOGLETRANSLATE(B54, ""en"", ""hr"")"),"Osnovni zanatski materijal.")</f>
        <v>Osnovni zanatski materijal.</v>
      </c>
      <c r="M54" s="26"/>
      <c r="N54" s="26"/>
      <c r="O54" s="26"/>
      <c r="P54" s="26"/>
      <c r="Q54" s="26"/>
      <c r="R54" s="26"/>
      <c r="S54" s="26"/>
      <c r="T54" s="26"/>
      <c r="U54" s="26"/>
      <c r="V54" s="26"/>
      <c r="W54" s="26"/>
      <c r="X54" s="26"/>
      <c r="Y54" s="26"/>
      <c r="Z54" s="26"/>
      <c r="AA54" s="26"/>
      <c r="AB54" s="26"/>
    </row>
    <row r="55">
      <c r="A55" s="43" t="s">
        <v>565</v>
      </c>
      <c r="B55" s="22" t="s">
        <v>566</v>
      </c>
      <c r="C55" s="23" t="str">
        <f>IFERROR(__xludf.DUMMYFUNCTION("GOOGLETRANSLATE(B55, ""en"", ""fr"")"),"Journaux de saule")</f>
        <v>Journaux de saule</v>
      </c>
      <c r="D55" s="23" t="str">
        <f>IFERROR(__xludf.DUMMYFUNCTION("GOOGLETRANSLATE(B55, ""en"", ""es"")"),"Logios de sauce")</f>
        <v>Logios de sauce</v>
      </c>
      <c r="E55" s="23" t="str">
        <f>IFERROR(__xludf.DUMMYFUNCTION("GOOGLETRANSLATE(B55, ""en"", ""ru"")"),"Журналы ивы")</f>
        <v>Журналы ивы</v>
      </c>
      <c r="F55" s="23" t="str">
        <f>IFERROR(__xludf.DUMMYFUNCTION("GOOGLETRANSLATE(B55, ""en"", ""tr"")"),"Söğüt kütükleri")</f>
        <v>Söğüt kütükleri</v>
      </c>
      <c r="G55" s="23" t="str">
        <f>IFERROR(__xludf.DUMMYFUNCTION("GOOGLETRANSLATE(B55, ""en"", ""pt"")"),"Loges de Willow")</f>
        <v>Loges de Willow</v>
      </c>
      <c r="H55" s="24" t="str">
        <f>IFERROR(__xludf.DUMMYFUNCTION("GOOGLETRANSLATE(B55, ""en"", ""de"")"),"Weidenprotokolle")</f>
        <v>Weidenprotokolle</v>
      </c>
      <c r="I55" s="23" t="str">
        <f>IFERROR(__xludf.DUMMYFUNCTION("GOOGLETRANSLATE(B55, ""en"", ""pl"")"),"Dzienniki wierzby")</f>
        <v>Dzienniki wierzby</v>
      </c>
      <c r="J55" s="25" t="str">
        <f>IFERROR(__xludf.DUMMYFUNCTION("GOOGLETRANSLATE(B55, ""en"", ""zh"")"),"柳树日志")</f>
        <v>柳树日志</v>
      </c>
      <c r="K55" s="25" t="str">
        <f>IFERROR(__xludf.DUMMYFUNCTION("GOOGLETRANSLATE(B55, ""en"", ""vi"")"),"Nhật ký liễu")</f>
        <v>Nhật ký liễu</v>
      </c>
      <c r="L55" s="42" t="str">
        <f>IFERROR(__xludf.DUMMYFUNCTION("GOOGLETRANSLATE(B55, ""en"", ""hr"")"),"Trupci vrbe")</f>
        <v>Trupci vrbe</v>
      </c>
      <c r="M55" s="26"/>
      <c r="N55" s="26"/>
      <c r="O55" s="26"/>
      <c r="P55" s="26"/>
      <c r="Q55" s="26"/>
      <c r="R55" s="26"/>
      <c r="S55" s="26"/>
      <c r="T55" s="26"/>
      <c r="U55" s="26"/>
      <c r="V55" s="26"/>
      <c r="W55" s="26"/>
      <c r="X55" s="26"/>
      <c r="Y55" s="26"/>
      <c r="Z55" s="26"/>
      <c r="AA55" s="26"/>
      <c r="AB55" s="26"/>
    </row>
    <row r="56">
      <c r="A56" s="43" t="s">
        <v>567</v>
      </c>
      <c r="B56" s="22" t="s">
        <v>564</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Handwerksmaterial.")</f>
        <v>Ein grundlegendes Handwerksmaterial.</v>
      </c>
      <c r="I56" s="23" t="str">
        <f>IFERROR(__xludf.DUMMYFUNCTION("GOOGLETRANSLATE(B56, ""en"", ""pl"")"),"Podstawowy materiał rzemieślniczy.")</f>
        <v>Podstawowy materiał rzemieślniczy.</v>
      </c>
      <c r="J56" s="25" t="str">
        <f>IFERROR(__xludf.DUMMYFUNCTION("GOOGLETRANSLATE(B56, ""en"", ""zh"")"),"基本的制作材料。")</f>
        <v>基本的制作材料。</v>
      </c>
      <c r="K56" s="25" t="str">
        <f>IFERROR(__xludf.DUMMYFUNCTION("GOOGLETRANSLATE(B56, ""en"", ""vi"")"),"Một vật liệu chế tạo cơ bản.")</f>
        <v>Một vật liệu chế tạo cơ bản.</v>
      </c>
      <c r="L56" s="42" t="str">
        <f>IFERROR(__xludf.DUMMYFUNCTION("GOOGLETRANSLATE(B56, ""en"", ""hr"")"),"Osnovni zanatski materijal.")</f>
        <v>Osnovni zanatski materijal.</v>
      </c>
      <c r="M56" s="26"/>
      <c r="N56" s="26"/>
      <c r="O56" s="26"/>
      <c r="P56" s="26"/>
      <c r="Q56" s="26"/>
      <c r="R56" s="26"/>
      <c r="S56" s="26"/>
      <c r="T56" s="26"/>
      <c r="U56" s="26"/>
      <c r="V56" s="26"/>
      <c r="W56" s="26"/>
      <c r="X56" s="26"/>
      <c r="Y56" s="26"/>
      <c r="Z56" s="26"/>
      <c r="AA56" s="26"/>
      <c r="AB56" s="26"/>
    </row>
    <row r="57">
      <c r="A57" s="43" t="s">
        <v>568</v>
      </c>
      <c r="B57" s="22" t="s">
        <v>569</v>
      </c>
      <c r="C57" s="23" t="str">
        <f>IFERROR(__xludf.DUMMYFUNCTION("GOOGLETRANSLATE(B57, ""en"", ""fr"")"),"Journaux en chêne")</f>
        <v>Journaux en chêne</v>
      </c>
      <c r="D57" s="23" t="str">
        <f>IFERROR(__xludf.DUMMYFUNCTION("GOOGLETRANSLATE(B57, ""en"", ""es"")"),"Troncos de roble")</f>
        <v>Troncos de roble</v>
      </c>
      <c r="E57" s="23" t="str">
        <f>IFERROR(__xludf.DUMMYFUNCTION("GOOGLETRANSLATE(B57, ""en"", ""ru"")"),"Дубовые журналы")</f>
        <v>Дубовые журналы</v>
      </c>
      <c r="F57" s="23" t="str">
        <f>IFERROR(__xludf.DUMMYFUNCTION("GOOGLETRANSLATE(B57, ""en"", ""tr"")"),"Meşe kütükleri")</f>
        <v>Meşe kütükleri</v>
      </c>
      <c r="G57" s="23" t="str">
        <f>IFERROR(__xludf.DUMMYFUNCTION("GOOGLETRANSLATE(B57, ""en"", ""pt"")"),"Torros de carvalho")</f>
        <v>Torros de carvalho</v>
      </c>
      <c r="H57" s="24" t="str">
        <f>IFERROR(__xludf.DUMMYFUNCTION("GOOGLETRANSLATE(B57, ""en"", ""de"")"),"Eichenprotokolle")</f>
        <v>Eichenprotokolle</v>
      </c>
      <c r="I57" s="23" t="str">
        <f>IFERROR(__xludf.DUMMYFUNCTION("GOOGLETRANSLATE(B57, ""en"", ""pl"")"),"Dębowe dzienniki")</f>
        <v>Dębowe dzienniki</v>
      </c>
      <c r="J57" s="25" t="str">
        <f>IFERROR(__xludf.DUMMYFUNCTION("GOOGLETRANSLATE(B57, ""en"", ""zh"")"),"橡木原木")</f>
        <v>橡木原木</v>
      </c>
      <c r="K57" s="25" t="str">
        <f>IFERROR(__xludf.DUMMYFUNCTION("GOOGLETRANSLATE(B57, ""en"", ""vi"")"),"Nhật ký gỗ sồi")</f>
        <v>Nhật ký gỗ sồi</v>
      </c>
      <c r="L57" s="42" t="str">
        <f>IFERROR(__xludf.DUMMYFUNCTION("GOOGLETRANSLATE(B57, ""en"", ""hr"")"),"Hrastovi trupci")</f>
        <v>Hrastovi trupci</v>
      </c>
      <c r="M57" s="26"/>
      <c r="N57" s="26"/>
      <c r="O57" s="26"/>
      <c r="P57" s="26"/>
      <c r="Q57" s="26"/>
      <c r="R57" s="26"/>
      <c r="S57" s="26"/>
      <c r="T57" s="26"/>
      <c r="U57" s="26"/>
      <c r="V57" s="26"/>
      <c r="W57" s="26"/>
      <c r="X57" s="26"/>
      <c r="Y57" s="26"/>
      <c r="Z57" s="26"/>
      <c r="AA57" s="26"/>
      <c r="AB57" s="26"/>
    </row>
    <row r="58">
      <c r="A58" s="43" t="s">
        <v>570</v>
      </c>
      <c r="B58" s="22" t="s">
        <v>564</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Handwerksmaterial.")</f>
        <v>Ein grundlegendes Handwerksmaterial.</v>
      </c>
      <c r="I58" s="23" t="str">
        <f>IFERROR(__xludf.DUMMYFUNCTION("GOOGLETRANSLATE(B58, ""en"", ""pl"")"),"Podstawowy materiał rzemieślniczy.")</f>
        <v>Podstawowy materiał rzemieślniczy.</v>
      </c>
      <c r="J58" s="25" t="str">
        <f>IFERROR(__xludf.DUMMYFUNCTION("GOOGLETRANSLATE(B58, ""en"", ""zh"")"),"基本的制作材料。")</f>
        <v>基本的制作材料。</v>
      </c>
      <c r="K58" s="25" t="str">
        <f>IFERROR(__xludf.DUMMYFUNCTION("GOOGLETRANSLATE(B58, ""en"", ""vi"")"),"Một vật liệu chế tạo cơ bản.")</f>
        <v>Một vật liệu chế tạo cơ bản.</v>
      </c>
      <c r="L58" s="42" t="str">
        <f>IFERROR(__xludf.DUMMYFUNCTION("GOOGLETRANSLATE(B58, ""en"", ""hr"")"),"Osnovni zanatski materijal.")</f>
        <v>Osnovni zanatski materijal.</v>
      </c>
      <c r="M58" s="26"/>
      <c r="N58" s="26"/>
      <c r="O58" s="26"/>
      <c r="P58" s="26"/>
      <c r="Q58" s="26"/>
      <c r="R58" s="26"/>
      <c r="S58" s="26"/>
      <c r="T58" s="26"/>
      <c r="U58" s="26"/>
      <c r="V58" s="26"/>
      <c r="W58" s="26"/>
      <c r="X58" s="26"/>
      <c r="Y58" s="26"/>
      <c r="Z58" s="26"/>
      <c r="AA58" s="26"/>
      <c r="AB58" s="26"/>
    </row>
    <row r="59">
      <c r="A59" s="43" t="s">
        <v>571</v>
      </c>
      <c r="B59" s="22" t="s">
        <v>572</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ветвь")</f>
        <v>Священная ветвь</v>
      </c>
      <c r="F59" s="23" t="str">
        <f>IFERROR(__xludf.DUMMYFUNCTION("GOOGLETRANSLATE(B59, ""en"", ""tr"")"),"Kutsal şube")</f>
        <v>Kutsal şube</v>
      </c>
      <c r="G59" s="23" t="str">
        <f>IFERROR(__xludf.DUMMYFUNCTION("GOOGLETRANSLATE(B59, ""en"", ""pt"")"),"Ramo sagrado")</f>
        <v>Ramo sagrado</v>
      </c>
      <c r="H59" s="24" t="str">
        <f>IFERROR(__xludf.DUMMYFUNCTION("GOOGLETRANSLATE(B59, ""en"", ""de"")"),"Heiliger Zweig")</f>
        <v>Heiliger Zweig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""vi"")"),"Nhánh linh thiêng")</f>
        <v>Nhánh linh thiêng</v>
      </c>
      <c r="L59" s="42" t="str">
        <f>IFERROR(__xludf.DUMMYFUNCTION("GOOGLETRANSLATE(B59, ""en"", ""hr"")"),"Sveta grana")</f>
        <v>Sveta grana</v>
      </c>
      <c r="M59" s="26"/>
      <c r="N59" s="26"/>
      <c r="O59" s="26"/>
      <c r="P59" s="26"/>
      <c r="Q59" s="26"/>
      <c r="R59" s="26"/>
      <c r="S59" s="26"/>
      <c r="T59" s="26"/>
      <c r="U59" s="26"/>
      <c r="V59" s="26"/>
      <c r="W59" s="26"/>
      <c r="X59" s="26"/>
      <c r="Y59" s="26"/>
      <c r="Z59" s="26"/>
      <c r="AA59" s="26"/>
      <c r="AB59" s="26"/>
    </row>
    <row r="60">
      <c r="A60" s="43" t="s">
        <v>573</v>
      </c>
      <c r="B60" s="22" t="s">
        <v>574</v>
      </c>
      <c r="C60" s="23" t="str">
        <f>IFERROR(__xludf.DUMMYFUNCTION("GOOGLETRANSLATE(B60, ""en"", ""fr"")"),"Une fois partie d'un arbre sacré qui a connecté ce monde à beaucoup d'autres.")</f>
        <v>Une fois partie d'un arbre sacré qui a connecté ce monde à beaucoup d'autres.</v>
      </c>
      <c r="D60" s="23" t="str">
        <f>IFERROR(__xludf.DUMMYFUNCTION("GOOGLETRANSLATE(B60, ""en"", ""es"")"),"Una vez parte de un árbol sagrado que conectó este mundo con muchos otros.")</f>
        <v>Una vez parte de un árbol sagrado que conectó este mundo con muchos otros.</v>
      </c>
      <c r="E60" s="23" t="str">
        <f>IFERROR(__xludf.DUMMYFUNCTION("GOOGLETRANSLATE(B60, ""en"", ""ru"")"),"Когда -то часть святого дерева, которое связало этот мир со многими другими.")</f>
        <v>Когда -то часть святого дерева, которое связало этот мир со многими другими.</v>
      </c>
      <c r="F60" s="23" t="str">
        <f>IFERROR(__xludf.DUMMYFUNCTION("GOOGLETRANSLATE(B60, ""en"", ""tr"")"),"Bir zamanlar bu dünyayı diğerlerine bağlayan kutsal bir ağacın parçası.")</f>
        <v>Bir zamanlar bu dünyayı diğerlerine bağlayan kutsal bir ağacın parçası.</v>
      </c>
      <c r="G60" s="23" t="str">
        <f>IFERROR(__xludf.DUMMYFUNCTION("GOOGLETRANSLATE(B60, ""en"", ""pt"")"),"Uma vez parte de uma árvore sagrada que conecta este mundo a muitos outros.")</f>
        <v>Uma vez parte de uma árvore sagrada que conecta este mundo a muitos outros.</v>
      </c>
      <c r="H60" s="24" t="str">
        <f>IFERROR(__xludf.DUMMYFUNCTION("GOOGLETRANSLATE(B60, ""en"", ""de"")"),"Einmal Teil eines heiligen Baumes, der diese Welt mit vielen anderen verband.")</f>
        <v>Einmal Teil eines heiligen Baumes, der diese Welt mit vielen anderen verband.</v>
      </c>
      <c r="I60" s="23" t="str">
        <f>IFERROR(__xludf.DUMMYFUNCTION("GOOGLETRANSLATE(B60, ""en"", ""pl"")"),"Niegdyś część świętego drzewa, które połączyło ten świat z wieloma innymi.")</f>
        <v>Niegdyś część świętego drzewa, które połączyło ten świat z wieloma innymi.</v>
      </c>
      <c r="J60" s="25" t="str">
        <f>IFERROR(__xludf.DUMMYFUNCTION("GOOGLETRANSLATE(B60, ""en"", ""zh"")"),"曾经是将这个世界与许多其他世界联系起来的圣树的一部分。")</f>
        <v>曾经是将这个世界与许多其他世界联系起来的圣树的一部分。</v>
      </c>
      <c r="K60" s="25" t="str">
        <f>IFERROR(__xludf.DUMMYFUNCTION("GOOGLETRANSLATE(B60, ""en"", ""vi"")"),"Từng là một phần của một cây thánh kết nối thế giới này với nhiều người khác.")</f>
        <v>Từng là một phần của một cây thánh kết nối thế giới này với nhiều người khác.</v>
      </c>
      <c r="L60" s="42" t="str">
        <f>IFERROR(__xludf.DUMMYFUNCTION("GOOGLETRANSLATE(B60, ""en"", ""hr"")"),"Jednom dio svetog stabla koje je ovaj svijet povezao s mnogim drugima.")</f>
        <v>Jednom dio svetog stabla koje je ovaj svijet povezao s mnogim drugima.</v>
      </c>
      <c r="M60" s="26"/>
      <c r="N60" s="26"/>
      <c r="O60" s="26"/>
      <c r="P60" s="26"/>
      <c r="Q60" s="26"/>
      <c r="R60" s="26"/>
      <c r="S60" s="26"/>
      <c r="T60" s="26"/>
      <c r="U60" s="26"/>
      <c r="V60" s="26"/>
      <c r="W60" s="26"/>
      <c r="X60" s="26"/>
      <c r="Y60" s="26"/>
      <c r="Z60" s="26"/>
      <c r="AA60" s="26"/>
      <c r="AB60" s="26"/>
    </row>
    <row r="61">
      <c r="A61" s="43" t="s">
        <v>575</v>
      </c>
      <c r="B61" s="22" t="s">
        <v>576</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42" t="str">
        <f>IFERROR(__xludf.DUMMYFUNCTION("GOOGLETRANSLATE(B61, ""en"", ""hr"")"),"Pamuk")</f>
        <v>Pamuk</v>
      </c>
      <c r="M61" s="26"/>
      <c r="N61" s="26"/>
      <c r="O61" s="26"/>
      <c r="P61" s="26"/>
      <c r="Q61" s="26"/>
      <c r="R61" s="26"/>
      <c r="S61" s="26"/>
      <c r="T61" s="26"/>
      <c r="U61" s="26"/>
      <c r="V61" s="26"/>
      <c r="W61" s="26"/>
      <c r="X61" s="26"/>
      <c r="Y61" s="26"/>
      <c r="Z61" s="26"/>
      <c r="AA61" s="26"/>
      <c r="AB61" s="26"/>
    </row>
    <row r="62">
      <c r="A62" s="43" t="s">
        <v>577</v>
      </c>
      <c r="B62" s="22" t="s">
        <v>578</v>
      </c>
      <c r="C62" s="23" t="str">
        <f>IFERROR(__xludf.DUMMYFUNCTION("GOOGLETRANSLATE(B62, ""en"", ""fr"")"),"Peut être fabriqué en différents textiles.")</f>
        <v>Peut être fabriqué en différents textiles.</v>
      </c>
      <c r="D62" s="23" t="str">
        <f>IFERROR(__xludf.DUMMYFUNCTION("GOOGLETRANSLATE(B62, ""en"", ""es"")"),"Se puede elaborar en varios textiles.")</f>
        <v>Se puede elaborar en varios textiles.</v>
      </c>
      <c r="E62" s="23" t="str">
        <f>IFERROR(__xludf.DUMMYFUNCTION("GOOGLETRANSLATE(B62, ""en"", ""ru"")"),"Может быть изготовлен в различный текстиль.")</f>
        <v>Может быть изготовлен в различный текстиль.</v>
      </c>
      <c r="F62" s="23" t="str">
        <f>IFERROR(__xludf.DUMMYFUNCTION("GOOGLETRANSLATE(B62, ""en"", ""tr"")"),"Çeşitli tekstillere hazırlanabilir.")</f>
        <v>Çeşitli tekstillere hazırlanabilir.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""pl"")"),"Można wykonać w różnych tekstyliach.")</f>
        <v>Można wykonać w różnych tekstyliach.</v>
      </c>
      <c r="J62" s="25" t="str">
        <f>IFERROR(__xludf.DUMMYFUNCTION("GOOGLETRANSLATE(B62, ""en"", ""zh"")"),"可以制作成各种纺织品。")</f>
        <v>可以制作成各种纺织品。</v>
      </c>
      <c r="K62" s="25" t="str">
        <f>IFERROR(__xludf.DUMMYFUNCTION("GOOGLETRANSLATE(B62, ""en"", ""vi"")"),"Có thể được chế tạo thành hàng dệt khác nhau.")</f>
        <v>Có thể được chế tạo thành hàng dệt khác nhau.</v>
      </c>
      <c r="L62" s="42" t="str">
        <f>IFERROR(__xludf.DUMMYFUNCTION("GOOGLETRANSLATE(B62, ""en"", ""hr"")"),"Može se izraditi u raznim tekstilima.")</f>
        <v>Može se izraditi u raznim tekstilima.</v>
      </c>
      <c r="M62" s="26"/>
      <c r="N62" s="26"/>
      <c r="O62" s="26"/>
      <c r="P62" s="26"/>
      <c r="Q62" s="26"/>
      <c r="R62" s="26"/>
      <c r="S62" s="26"/>
      <c r="T62" s="26"/>
      <c r="U62" s="26"/>
      <c r="V62" s="26"/>
      <c r="W62" s="26"/>
      <c r="X62" s="26"/>
      <c r="Y62" s="26"/>
      <c r="Z62" s="26"/>
      <c r="AA62" s="26"/>
      <c r="AB62" s="26"/>
    </row>
    <row r="63">
      <c r="A63" s="43" t="s">
        <v>579</v>
      </c>
      <c r="B63" s="22" t="s">
        <v>580</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""pt"")"),"Corda")</f>
        <v>Corda</v>
      </c>
      <c r="H63" s="24" t="str">
        <f>IFERROR(__xludf.DUMMYFUNCTION("GOOGLETRANSLATE(B63, ""en"", ""de"")"),"Saite")</f>
        <v>Saite</v>
      </c>
      <c r="I63" s="23" t="str">
        <f>IFERROR(__xludf.DUMMYFUNCTION("GOOGLETRANSLATE(B63, ""en"", ""pl"")"),"Strunowy")</f>
        <v>Strunowy</v>
      </c>
      <c r="J63" s="25" t="str">
        <f>IFERROR(__xludf.DUMMYFUNCTION("GOOGLETRANSLATE(B63, ""en"", ""zh"")"),"细绳")</f>
        <v>细绳</v>
      </c>
      <c r="K63" s="25" t="str">
        <f>IFERROR(__xludf.DUMMYFUNCTION("GOOGLETRANSLATE(B63, ""en"", ""vi"")"),"Sợi dây")</f>
        <v>Sợi dây</v>
      </c>
      <c r="L63" s="42" t="str">
        <f>IFERROR(__xludf.DUMMYFUNCTION("GOOGLETRANSLATE(B63, ""en"", ""hr"")"),"Niz")</f>
        <v>Niz</v>
      </c>
      <c r="M63" s="26"/>
      <c r="N63" s="26"/>
      <c r="O63" s="26"/>
      <c r="P63" s="26"/>
      <c r="Q63" s="26"/>
      <c r="R63" s="26"/>
      <c r="S63" s="26"/>
      <c r="T63" s="26"/>
      <c r="U63" s="26"/>
      <c r="V63" s="26"/>
      <c r="W63" s="26"/>
      <c r="X63" s="26"/>
      <c r="Y63" s="26"/>
      <c r="Z63" s="26"/>
      <c r="AA63" s="26"/>
      <c r="AB63" s="26"/>
    </row>
    <row r="64">
      <c r="A64" s="43" t="s">
        <v>581</v>
      </c>
      <c r="B64" s="22" t="s">
        <v>582</v>
      </c>
      <c r="C64" s="23" t="str">
        <f>IFERROR(__xludf.DUMMYFUNCTION("GOOGLETRANSLATE(B64, ""en"", ""fr"")"),"Utilisé pour fabriquer des arcs et des pièges.")</f>
        <v>Utilisé pour fabriquer des arcs et des pièges.</v>
      </c>
      <c r="D64" s="23" t="str">
        <f>IFERROR(__xludf.DUMMYFUNCTION("GOOGLETRANSLATE(B64, ""en"", ""es"")"),"Se usa para crear arcos y trampas.")</f>
        <v>Se usa para crear arcos y trampas.</v>
      </c>
      <c r="E64" s="23" t="str">
        <f>IFERROR(__xludf.DUMMYFUNCTION("GOOGLETRANSLATE(B64, ""en"", ""ru"")"),"Используется для создания бантов и ловушек.")</f>
        <v>Используется для создания бантов и ловушек.</v>
      </c>
      <c r="F64" s="23" t="str">
        <f>IFERROR(__xludf.DUMMYFUNCTION("GOOGLETRANSLATE(B64, ""en"", ""tr"")"),"Yaylar ve tuzaklar yapmak için kullanılır.")</f>
        <v>Yaylar ve tuzaklar yapmak için kullanılır.</v>
      </c>
      <c r="G64" s="23" t="str">
        <f>IFERROR(__xludf.DUMMYFUNCTION("GOOGLETRANSLATE(B64, ""en"", ""pt"")"),"Usado para criar arcos e armadilhas.")</f>
        <v>Usado para criar arcos e armadilhas.</v>
      </c>
      <c r="H64" s="24" t="str">
        <f>IFERROR(__xludf.DUMMYFUNCTION("GOOGLETRANSLATE(B64, ""en"", ""de"")"),"Wird verwendet, um Bögen und Fallen zu erstellen.")</f>
        <v>Wird verwendet, um Bögen und Fallen zu erstellen.</v>
      </c>
      <c r="I64" s="23" t="str">
        <f>IFERROR(__xludf.DUMMYFUNCTION("GOOGLETRANSLATE(B64, ""en"", ""pl"")"),"Służy do tworzenia łuków i pułapek.")</f>
        <v>Służy do tworzenia łuków i pułapek.</v>
      </c>
      <c r="J64" s="25" t="str">
        <f>IFERROR(__xludf.DUMMYFUNCTION("GOOGLETRANSLATE(B64, ""en"", ""zh"")"),"用于制作蝴蝶结和陷阱。")</f>
        <v>用于制作蝴蝶结和陷阱。</v>
      </c>
      <c r="K64" s="25" t="str">
        <f>IFERROR(__xludf.DUMMYFUNCTION("GOOGLETRANSLATE(B64, ""en"", ""vi"")"),"Được sử dụng để chế tạo cung và bẫy.")</f>
        <v>Được sử dụng để chế tạo cung và bẫy.</v>
      </c>
      <c r="L64" s="42" t="str">
        <f>IFERROR(__xludf.DUMMYFUNCTION("GOOGLETRANSLATE(B64, ""en"", ""hr"")"),"Koristi se za izradu lukova i zamki.")</f>
        <v>Koristi se za izradu lukova i zamki.</v>
      </c>
      <c r="M64" s="26"/>
      <c r="N64" s="26"/>
      <c r="O64" s="26"/>
      <c r="P64" s="26"/>
      <c r="Q64" s="26"/>
      <c r="R64" s="26"/>
      <c r="S64" s="26"/>
      <c r="T64" s="26"/>
      <c r="U64" s="26"/>
      <c r="V64" s="26"/>
      <c r="W64" s="26"/>
      <c r="X64" s="26"/>
      <c r="Y64" s="26"/>
      <c r="Z64" s="26"/>
      <c r="AA64" s="26"/>
      <c r="AB64" s="26"/>
    </row>
    <row r="65">
      <c r="A65" s="43" t="s">
        <v>583</v>
      </c>
      <c r="B65" s="22" t="s">
        <v>584</v>
      </c>
      <c r="C65" s="23" t="str">
        <f>IFERROR(__xludf.DUMMYFUNCTION("GOOGLETRANSLATE(B65, ""en"", ""fr"")"),"Tissu")</f>
        <v>Tissu</v>
      </c>
      <c r="D65" s="23" t="str">
        <f>IFERROR(__xludf.DUMMYFUNCTION("GOOGLETRANSLATE(B65, ""en"", ""es"")"),"Tela")</f>
        <v>Tela</v>
      </c>
      <c r="E65" s="23" t="str">
        <f>IFERROR(__xludf.DUMMYFUNCTION("GOOGLETRANSLATE(B65, ""en"", ""ru"")"),"Ткани")</f>
        <v>Ткани</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""vi"")"),"Vải vóc")</f>
        <v>Vải vóc</v>
      </c>
      <c r="L65" s="42" t="str">
        <f>IFERROR(__xludf.DUMMYFUNCTION("GOOGLETRANSLATE(B65, ""en"", ""hr"")"),"Tkanina")</f>
        <v>Tkanina</v>
      </c>
      <c r="M65" s="26"/>
      <c r="N65" s="26"/>
      <c r="O65" s="26"/>
      <c r="P65" s="26"/>
      <c r="Q65" s="26"/>
      <c r="R65" s="26"/>
      <c r="S65" s="26"/>
      <c r="T65" s="26"/>
      <c r="U65" s="26"/>
      <c r="V65" s="26"/>
      <c r="W65" s="26"/>
      <c r="X65" s="26"/>
      <c r="Y65" s="26"/>
      <c r="Z65" s="26"/>
      <c r="AA65" s="26"/>
      <c r="AB65" s="26"/>
    </row>
    <row r="66">
      <c r="A66" s="43" t="s">
        <v>585</v>
      </c>
      <c r="B66" s="22" t="s">
        <v>586</v>
      </c>
      <c r="C66" s="23" t="str">
        <f>IFERROR(__xludf.DUMMYFUNCTION("GOOGLETRANSLATE(B66, ""en"", ""fr"")"),"Peut être fabriqué dans des vêtements.")</f>
        <v>Peut être fabriqué dans des vêtements.</v>
      </c>
      <c r="D66" s="23" t="str">
        <f>IFERROR(__xludf.DUMMYFUNCTION("GOOGLETRANSLATE(B66, ""en"", ""es"")"),"Se puede elaborar en ropa.")</f>
        <v>Se puede elaborar en ropa.</v>
      </c>
      <c r="E66" s="23" t="str">
        <f>IFERROR(__xludf.DUMMYFUNCTION("GOOGLETRANSLATE(B66, ""en"", ""ru"")"),"Может быть изготовлен в одежду.")</f>
        <v>Может быть изготовлен в одежду.</v>
      </c>
      <c r="F66" s="23" t="str">
        <f>IFERROR(__xludf.DUMMYFUNCTION("GOOGLETRANSLATE(B66, ""en"", ""tr"")"),"Giysiye hazırlanabilir.")</f>
        <v>Giysiye hazırlanabilir.</v>
      </c>
      <c r="G66" s="23" t="str">
        <f>IFERROR(__xludf.DUMMYFUNCTION("GOOGLETRANSLATE(B66, ""en"", ""pt"")"),"Pode ser criado em roupas.")</f>
        <v>Pode ser criado em roupas.</v>
      </c>
      <c r="H66" s="24" t="str">
        <f>IFERROR(__xludf.DUMMYFUNCTION("GOOGLETRANSLATE(B66, ""en"", ""de"")"),"Kann in Kleidung hergestellt werden.")</f>
        <v>Kann in Kleidung hergestellt werden.</v>
      </c>
      <c r="I66" s="23" t="str">
        <f>IFERROR(__xludf.DUMMYFUNCTION("GOOGLETRANSLATE(B66, ""en"", ""pl"")"),"Można wykonać w odzieży.")</f>
        <v>Można wykonać w odzieży.</v>
      </c>
      <c r="J66" s="25" t="str">
        <f>IFERROR(__xludf.DUMMYFUNCTION("GOOGLETRANSLATE(B66, ""en"", ""zh"")"),"可以制作成衣服。")</f>
        <v>可以制作成衣服。</v>
      </c>
      <c r="K66" s="25" t="str">
        <f>IFERROR(__xludf.DUMMYFUNCTION("GOOGLETRANSLATE(B66, ""en"", ""vi"")"),"Có thể được chế tạo thành quần áo.")</f>
        <v>Có thể được chế tạo thành quần áo.</v>
      </c>
      <c r="L66" s="42" t="str">
        <f>IFERROR(__xludf.DUMMYFUNCTION("GOOGLETRANSLATE(B66, ""en"", ""hr"")"),"Može se izraditi u odjeću.")</f>
        <v>Može se izraditi u odjeću.</v>
      </c>
      <c r="M66" s="26"/>
      <c r="N66" s="26"/>
      <c r="O66" s="26"/>
      <c r="P66" s="26"/>
      <c r="Q66" s="26"/>
      <c r="R66" s="26"/>
      <c r="S66" s="26"/>
      <c r="T66" s="26"/>
      <c r="U66" s="26"/>
      <c r="V66" s="26"/>
      <c r="W66" s="26"/>
      <c r="X66" s="26"/>
      <c r="Y66" s="26"/>
      <c r="Z66" s="26"/>
      <c r="AA66" s="26"/>
      <c r="AB66" s="26"/>
    </row>
    <row r="67">
      <c r="A67" s="43" t="s">
        <v>587</v>
      </c>
      <c r="B67" s="22" t="s">
        <v>588</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""ru"")"),"Ангел волосы")</f>
        <v>Ангел волосы</v>
      </c>
      <c r="F67" s="23" t="str">
        <f>IFERROR(__xludf.DUMMYFUNCTION("GOOGLETRANSLATE(B67, ""en"", ""tr"")"),"Melek saçı")</f>
        <v>Melek saçı</v>
      </c>
      <c r="G67" s="23" t="str">
        <f>IFERROR(__xludf.DUMMYFUNCTION("GOOGLETRANSLATE(B67, ""en"", ""pt"")"),"cabelo de anjo")</f>
        <v>cabelo de anjo</v>
      </c>
      <c r="H67" s="24" t="str">
        <f>IFERROR(__xludf.DUMMYFUNCTION("GOOGLETRANSLATE(B67, ""en"", ""de"")"),"Engelshaar")</f>
        <v>Engelshaar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42" t="str">
        <f>IFERROR(__xludf.DUMMYFUNCTION("GOOGLETRANSLATE(B67, ""en"", ""hr"")"),"Vermicelli")</f>
        <v>Vermicelli</v>
      </c>
      <c r="M67" s="26"/>
      <c r="N67" s="26"/>
      <c r="O67" s="26"/>
      <c r="P67" s="26"/>
      <c r="Q67" s="26"/>
      <c r="R67" s="26"/>
      <c r="S67" s="26"/>
      <c r="T67" s="26"/>
      <c r="U67" s="26"/>
      <c r="V67" s="26"/>
      <c r="W67" s="26"/>
      <c r="X67" s="26"/>
      <c r="Y67" s="26"/>
      <c r="Z67" s="26"/>
      <c r="AA67" s="26"/>
      <c r="AB67" s="26"/>
    </row>
    <row r="68">
      <c r="A68" s="43" t="s">
        <v>589</v>
      </c>
      <c r="B68" s="22" t="s">
        <v>590</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вплетать в роскошный текстиль.")</f>
        <v>Мягкий, но сильный материал, который можно вплетать в роскошный текстиль.</v>
      </c>
      <c r="F68" s="23" t="str">
        <f>IFERROR(__xludf.DUMMYFUNCTION("GOOGLETRANSLATE(B68, ""en"", ""tr"")"),"Lüks tekstillere dokunabilen yumuşak ama güçlü bir malzeme.")</f>
        <v>Lüks tekstillere dokunabilen yumuşak ama güçlü bir malzeme.</v>
      </c>
      <c r="G68" s="23" t="str">
        <f>IFERROR(__xludf.DUMMYFUNCTION("GOOGLETRANSLATE(B68, ""en"", ""pt"")"),"Um material macio, porém forte, que pode ser tecido em têxteis de luxo.")</f>
        <v>Um material macio, porém forte, que pode ser tecido em têxteis de luxo.</v>
      </c>
      <c r="H68" s="24" t="str">
        <f>IFERROR(__xludf.DUMMYFUNCTION("GOOGLETRANSLATE(B68, ""en"", ""de"")"),"Ein weiches, aber starkes Material, das in Luxustextilien verwoben werden kann.")</f>
        <v>Ein weiches, aber starkes Material, das in Luxustextilien verwoben werden kann.</v>
      </c>
      <c r="I68" s="23" t="str">
        <f>IFERROR(__xludf.DUMMYFUNCTION("GOOGLETRANSLATE(B68, ""en"", ""pl"")"),"Miękki, ale silny materiał, który można wplecić w luksusowe tekstylia.")</f>
        <v>Miękki, ale silny materiał, który można wplecić w luksusowe tekstylia.</v>
      </c>
      <c r="J68" s="25" t="str">
        <f>IFERROR(__xludf.DUMMYFUNCTION("GOOGLETRANSLATE(B68, ""en"", ""zh"")"),"可以编织成豪华纺织品的柔软而强大的材料。")</f>
        <v>可以编织成豪华纺织品的柔软而强大的材料。</v>
      </c>
      <c r="K68" s="25" t="str">
        <f>IFERROR(__xludf.DUMMYFUNCTION("GOOGLETRANSLATE(B68, ""en"", ""vi"")"),"Một vật liệu mềm nhưng mạnh mẽ có thể được dệt thành hàng dệt may sang trọng.")</f>
        <v>Một vật liệu mềm nhưng mạnh mẽ có thể được dệt thành hàng dệt may sang trọng.</v>
      </c>
      <c r="L68" s="42" t="str">
        <f>IFERROR(__xludf.DUMMYFUNCTION("GOOGLETRANSLATE(B68, ""en"", ""hr"")"),"Mekani, ali jak materijal koji se može utkati u luksuzni tekstil.")</f>
        <v>Mekani, ali jak materijal koji se može utkati u luksuzni tekstil.</v>
      </c>
      <c r="M68" s="26"/>
      <c r="N68" s="26"/>
      <c r="O68" s="26"/>
      <c r="P68" s="26"/>
      <c r="Q68" s="26"/>
      <c r="R68" s="26"/>
      <c r="S68" s="26"/>
      <c r="T68" s="26"/>
      <c r="U68" s="26"/>
      <c r="V68" s="26"/>
      <c r="W68" s="26"/>
      <c r="X68" s="26"/>
      <c r="Y68" s="26"/>
      <c r="Z68" s="26"/>
      <c r="AA68" s="26"/>
      <c r="AB68" s="26"/>
    </row>
    <row r="69">
      <c r="A69" s="43" t="s">
        <v>591</v>
      </c>
      <c r="B69" s="22" t="s">
        <v>592</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42" t="str">
        <f>IFERROR(__xludf.DUMMYFUNCTION("GOOGLETRANSLATE(B69, ""en"", ""hr"")"),"Perje")</f>
        <v>Perje</v>
      </c>
      <c r="M69" s="26"/>
      <c r="N69" s="26"/>
      <c r="O69" s="26"/>
      <c r="P69" s="26"/>
      <c r="Q69" s="26"/>
      <c r="R69" s="26"/>
      <c r="S69" s="26"/>
      <c r="T69" s="26"/>
      <c r="U69" s="26"/>
      <c r="V69" s="26"/>
      <c r="W69" s="26"/>
      <c r="X69" s="26"/>
      <c r="Y69" s="26"/>
      <c r="Z69" s="26"/>
      <c r="AA69" s="26"/>
      <c r="AB69" s="26"/>
    </row>
    <row r="70">
      <c r="A70" s="43" t="s">
        <v>593</v>
      </c>
      <c r="B70" s="22" t="s">
        <v>594</v>
      </c>
      <c r="C70" s="23" t="str">
        <f>IFERROR(__xludf.DUMMYFUNCTION("GOOGLETRANSLATE(B70, ""en"", ""fr"")"),"Peut être fabriqué en flèches.")</f>
        <v>Peut être fabriqué en flèches.</v>
      </c>
      <c r="D70" s="23" t="str">
        <f>IFERROR(__xludf.DUMMYFUNCTION("GOOGLETRANSLATE(B70, ""en"", ""es"")"),"Se puede elaborar en flechas.")</f>
        <v>Se puede elaborar en flechas.</v>
      </c>
      <c r="E70" s="23" t="str">
        <f>IFERROR(__xludf.DUMMYFUNCTION("GOOGLETRANSLATE(B70, ""en"", ""ru"")"),"Может быть изготовлен в стрелах.")</f>
        <v>Может быть изготовлен в стрелах.</v>
      </c>
      <c r="F70" s="23" t="str">
        <f>IFERROR(__xludf.DUMMYFUNCTION("GOOGLETRANSLATE(B70, ""en"", ""tr"")"),"Oklara hazırlanabilir.")</f>
        <v>Oklara hazırlanabilir.</v>
      </c>
      <c r="G70" s="23" t="str">
        <f>IFERROR(__xludf.DUMMYFUNCTION("GOOGLETRANSLATE(B70, ""en"", ""pt"")"),"Pode ser criado em flechas.")</f>
        <v>Pode ser criado em flechas.</v>
      </c>
      <c r="H70" s="24" t="str">
        <f>IFERROR(__xludf.DUMMYFUNCTION("GOOGLETRANSLATE(B70, ""en"", ""de"")"),"Kann in Pfeile hergestellt werden.")</f>
        <v>Kann in Pfeile hergestellt werden.</v>
      </c>
      <c r="I70" s="23" t="str">
        <f>IFERROR(__xludf.DUMMYFUNCTION("GOOGLETRANSLATE(B70, ""en"", ""pl"")"),"Można wykonać w strzały.")</f>
        <v>Można wykonać w strzały.</v>
      </c>
      <c r="J70" s="25" t="str">
        <f>IFERROR(__xludf.DUMMYFUNCTION("GOOGLETRANSLATE(B70, ""en"", ""zh"")"),"可以制作成箭头。")</f>
        <v>可以制作成箭头。</v>
      </c>
      <c r="K70" s="25" t="str">
        <f>IFERROR(__xludf.DUMMYFUNCTION("GOOGLETRANSLATE(B70, ""en"", ""vi"")"),"Có thể được chế tạo thành mũi tên.")</f>
        <v>Có thể được chế tạo thành mũi tên.</v>
      </c>
      <c r="L70" s="42" t="str">
        <f>IFERROR(__xludf.DUMMYFUNCTION("GOOGLETRANSLATE(B70, ""en"", ""hr"")"),"Može se izraditi u strelice.")</f>
        <v>Može se izraditi u strelice.</v>
      </c>
      <c r="M70" s="26"/>
      <c r="N70" s="26"/>
      <c r="O70" s="26"/>
      <c r="P70" s="26"/>
      <c r="Q70" s="26"/>
      <c r="R70" s="26"/>
      <c r="S70" s="26"/>
      <c r="T70" s="26"/>
      <c r="U70" s="26"/>
      <c r="V70" s="26"/>
      <c r="W70" s="26"/>
      <c r="X70" s="26"/>
      <c r="Y70" s="26"/>
      <c r="Z70" s="26"/>
      <c r="AA70" s="26"/>
      <c r="AB70" s="26"/>
    </row>
    <row r="71">
      <c r="A71" s="44" t="s">
        <v>595</v>
      </c>
      <c r="B71" s="22" t="s">
        <v>596</v>
      </c>
      <c r="C71" s="23" t="str">
        <f>IFERROR(__xludf.DUMMYFUNCTION("GOOGLETRANSLATE(B71, ""en"", ""fr"")"),"Une casquette rouge")</f>
        <v>Une casquette rouge</v>
      </c>
      <c r="D71" s="23" t="str">
        <f>IFERROR(__xludf.DUMMYFUNCTION("GOOGLETRANSLATE(B71, ""en"", ""es"")"),"Gorra roja")</f>
        <v>Gorra roja</v>
      </c>
      <c r="E71" s="23" t="str">
        <f>IFERROR(__xludf.DUMMYFUNCTION("GOOGLETRANSLATE(B71, ""en"", ""ru"")"),"Красный колпачок")</f>
        <v>Красный колпачок</v>
      </c>
      <c r="F71" s="23" t="str">
        <f>IFERROR(__xludf.DUMMYFUNCTION("GOOGLETRANSLATE(B71, ""en"", ""tr"")"),"Kırmızı şapka")</f>
        <v>Kırmızı şapka</v>
      </c>
      <c r="G71" s="23" t="str">
        <f>IFERROR(__xludf.DUMMYFUNCTION("GOOGLETRANSLATE(B71, ""en"", ""pt"")"),"Boné vermelho")</f>
        <v>Boné vermelho</v>
      </c>
      <c r="H71" s="24" t="str">
        <f>IFERROR(__xludf.DUMMYFUNCTION("GOOGLETRANSLATE(B71, ""en"", ""de"")"),"Rote Mütze")</f>
        <v>Rote Mütze</v>
      </c>
      <c r="I71" s="23" t="str">
        <f>IFERROR(__xludf.DUMMYFUNCTION("GOOGLETRANSLATE(B71, ""en"", ""pl"")"),"Czerwona czapka")</f>
        <v>Czerwona czapka</v>
      </c>
      <c r="J71" s="25" t="str">
        <f>IFERROR(__xludf.DUMMYFUNCTION("GOOGLETRANSLATE(B71, ""en"", ""zh"")"),"红帽")</f>
        <v>红帽</v>
      </c>
      <c r="K71" s="25" t="str">
        <f>IFERROR(__xludf.DUMMYFUNCTION("GOOGLETRANSLATE(B71, ""en"", ""vi"")"),"Nắp màu đỏ")</f>
        <v>Nắp màu đỏ</v>
      </c>
      <c r="L71" s="42" t="str">
        <f>IFERROR(__xludf.DUMMYFUNCTION("GOOGLETRANSLATE(B71, ""en"", ""hr"")"),"Crvena kapa")</f>
        <v>Crvena kapa</v>
      </c>
      <c r="M71" s="26"/>
      <c r="N71" s="26"/>
      <c r="O71" s="26"/>
      <c r="P71" s="26"/>
      <c r="Q71" s="26"/>
      <c r="R71" s="26"/>
      <c r="S71" s="26"/>
      <c r="T71" s="26"/>
      <c r="U71" s="26"/>
      <c r="V71" s="26"/>
      <c r="W71" s="26"/>
      <c r="X71" s="26"/>
      <c r="Y71" s="26"/>
      <c r="Z71" s="26"/>
      <c r="AA71" s="26"/>
      <c r="AB71" s="26"/>
    </row>
    <row r="72">
      <c r="A72" s="44" t="s">
        <v>597</v>
      </c>
      <c r="B72" s="22" t="s">
        <v>598</v>
      </c>
      <c r="C72" s="23" t="str">
        <f>IFERROR(__xludf.DUMMYFUNCTION("GOOGLETRANSLATE(B72, ""en"", ""fr"")"),"Peut être consommé ou fabriqué en une potion pour un effet plus fort.")</f>
        <v>Peut être consommé ou fabriqué en une potion pour un effet plus fort.</v>
      </c>
      <c r="D72" s="23" t="str">
        <f>IFERROR(__xludf.DUMMYFUNCTION("GOOGLETRANSLATE(B72, ""en"", ""es"")"),"Se puede comer o hacer en una poción para un efecto más fuerte.")</f>
        <v>Se puede comer o hacer en una poción para un efecto más fuerte.</v>
      </c>
      <c r="E72" s="23" t="str">
        <f>IFERROR(__xludf.DUMMYFUNCTION("GOOGLETRANSLATE(B72, ""en"", ""ru"")"),"Можно съесть или приготовить в зелье для более сильного эффекта.")</f>
        <v>Можно съесть или приготовить в зелье для более сильного эффекта.</v>
      </c>
      <c r="F72" s="23" t="str">
        <f>IFERROR(__xludf.DUMMYFUNCTION("GOOGLETRANSLATE(B72, ""en"", ""tr"")"),"Daha güçlü bir etki için yenilebilir veya bir iksir haline getirilebilir.")</f>
        <v>Daha güçlü bir etki için yenilebilir veya bir iksir haline getirilebilir.</v>
      </c>
      <c r="G72" s="23" t="str">
        <f>IFERROR(__xludf.DUMMYFUNCTION("GOOGLETRANSLATE(B72, ""en"", ""pt"")"),"Pode ser consumido ou criado em uma poção para um efeito mais forte.")</f>
        <v>Pode ser consumido ou criado em uma poção para um efeito mais forte.</v>
      </c>
      <c r="H72" s="24" t="str">
        <f>IFERROR(__xludf.DUMMYFUNCTION("GOOGLETRANSLATE(B72, ""en"", ""de"")"),"Kann gegessen oder in einen Trank für eine stärkere Wirkung gefertigt werden.")</f>
        <v>Kann gegessen oder in einen Trank für eine stärkere Wirkung gefertigt werden.</v>
      </c>
      <c r="I72" s="23" t="str">
        <f>IFERROR(__xludf.DUMMYFUNCTION("GOOGLETRANSLATE(B72, ""en"", ""pl"")"),"Można jeść lub wykonać w miksturę, aby uzyskać silniejszy efekt.")</f>
        <v>Można jeść lub wykonać w miksturę, aby uzyskać silniejszy efekt.</v>
      </c>
      <c r="J72" s="25" t="str">
        <f>IFERROR(__xludf.DUMMYFUNCTION("GOOGLETRANSLATE(B72, ""en"", ""zh"")"),"可以食用或制成药水以产生更强的作用。")</f>
        <v>可以食用或制成药水以产生更强的作用。</v>
      </c>
      <c r="K72" s="25" t="str">
        <f>IFERROR(__xludf.DUMMYFUNCTION("GOOGLETRANSLATE(B72, ""en"", ""vi"")"),"Có thể được ăn, hoặc chế tạo thành một lọ thuốc để có tác dụng mạnh hơn.")</f>
        <v>Có thể được ăn, hoặc chế tạo thành một lọ thuốc để có tác dụng mạnh hơn.</v>
      </c>
      <c r="L72" s="42" t="str">
        <f>IFERROR(__xludf.DUMMYFUNCTION("GOOGLETRANSLATE(B72, ""en"", ""hr"")"),"Može se jesti ili izraditi u napitak za jači učinak.")</f>
        <v>Može se jesti ili izraditi u napitak za jači učinak.</v>
      </c>
      <c r="M72" s="26"/>
      <c r="N72" s="26"/>
      <c r="O72" s="26"/>
      <c r="P72" s="26"/>
      <c r="Q72" s="26"/>
      <c r="R72" s="26"/>
      <c r="S72" s="26"/>
      <c r="T72" s="26"/>
      <c r="U72" s="26"/>
      <c r="V72" s="26"/>
      <c r="W72" s="26"/>
      <c r="X72" s="26"/>
      <c r="Y72" s="26"/>
      <c r="Z72" s="26"/>
      <c r="AA72" s="26"/>
      <c r="AB72" s="26"/>
    </row>
    <row r="73">
      <c r="A73" s="44" t="s">
        <v>599</v>
      </c>
      <c r="B73" s="22" t="s">
        <v>600</v>
      </c>
      <c r="C73" s="23" t="str">
        <f>IFERROR(__xludf.DUMMYFUNCTION("GOOGLETRANSLATE(B73, ""en"", ""fr"")"),"Greencap")</f>
        <v>Greencap</v>
      </c>
      <c r="D73" s="23" t="str">
        <f>IFERROR(__xludf.DUMMYFUNCTION("GOOGLETRANSLATE(B73, ""en"", ""es"")"),"Gorra verde")</f>
        <v>Gorra verde</v>
      </c>
      <c r="E73" s="23" t="str">
        <f>IFERROR(__xludf.DUMMYFUNCTION("GOOGLETRANSLATE(B73, ""en"", ""ru"")"),"Greencap")</f>
        <v>Greencap</v>
      </c>
      <c r="F73" s="23" t="str">
        <f>IFERROR(__xludf.DUMMYFUNCTION("GOOGLETRANSLATE(B73, ""en"", ""tr"")"),"Greencap")</f>
        <v>Greencap</v>
      </c>
      <c r="G73" s="23" t="str">
        <f>IFERROR(__xludf.DUMMYFUNCTION("GOOGLETRANSLATE(B73, ""en"", ""pt"")"),"Greencap")</f>
        <v>Greencap</v>
      </c>
      <c r="H73" s="24" t="str">
        <f>IFERROR(__xludf.DUMMYFUNCTION("GOOGLETRANSLATE(B73, ""en"", ""de"")"),"Greencap")</f>
        <v>Greencap</v>
      </c>
      <c r="I73" s="23" t="str">
        <f>IFERROR(__xludf.DUMMYFUNCTION("GOOGLETRANSLATE(B73, ""en"", ""pl"")"),"Greencap")</f>
        <v>Greencap</v>
      </c>
      <c r="J73" s="25" t="str">
        <f>IFERROR(__xludf.DUMMYFUNCTION("GOOGLETRANSLATE(B73, ""en"", ""zh"")"),"Greencap")</f>
        <v>Greencap</v>
      </c>
      <c r="K73" s="25" t="str">
        <f>IFERROR(__xludf.DUMMYFUNCTION("GOOGLETRANSLATE(B73, ""en"", ""vi"")"),"Chiếc mũ xanh")</f>
        <v>Chiếc mũ xanh</v>
      </c>
      <c r="L73" s="42" t="str">
        <f>IFERROR(__xludf.DUMMYFUNCTION("GOOGLETRANSLATE(B73, ""en"", ""hr"")"),"Greenkap")</f>
        <v>Greenkap</v>
      </c>
      <c r="M73" s="26"/>
      <c r="N73" s="26"/>
      <c r="O73" s="26"/>
      <c r="P73" s="26"/>
      <c r="Q73" s="26"/>
      <c r="R73" s="26"/>
      <c r="S73" s="26"/>
      <c r="T73" s="26"/>
      <c r="U73" s="26"/>
      <c r="V73" s="26"/>
      <c r="W73" s="26"/>
      <c r="X73" s="26"/>
      <c r="Y73" s="26"/>
      <c r="Z73" s="26"/>
      <c r="AA73" s="26"/>
      <c r="AB73" s="26"/>
    </row>
    <row r="74">
      <c r="A74" s="44" t="s">
        <v>601</v>
      </c>
      <c r="B74" s="22" t="s">
        <v>598</v>
      </c>
      <c r="C74" s="23" t="str">
        <f>IFERROR(__xludf.DUMMYFUNCTION("GOOGLETRANSLATE(B74, ""en"", ""fr"")"),"Peut être consommé ou fabriqué en une potion pour un effet plus fort.")</f>
        <v>Peut être consommé ou fabriqué en une potion pour un effet plus fort.</v>
      </c>
      <c r="D74" s="23" t="str">
        <f>IFERROR(__xludf.DUMMYFUNCTION("GOOGLETRANSLATE(B74, ""en"", ""es"")"),"Se puede comer o hacer en una poción para un efecto más fuerte.")</f>
        <v>Se puede comer o hacer en una poción para un efecto más fuerte.</v>
      </c>
      <c r="E74" s="23" t="str">
        <f>IFERROR(__xludf.DUMMYFUNCTION("GOOGLETRANSLATE(B74, ""en"", ""ru"")"),"Можно съесть или приготовить в зелье для более сильного эффекта.")</f>
        <v>Можно съесть или приготовить в зелье для более сильного эффекта.</v>
      </c>
      <c r="F74" s="23" t="str">
        <f>IFERROR(__xludf.DUMMYFUNCTION("GOOGLETRANSLATE(B74, ""en"", ""tr"")"),"Daha güçlü bir etki için yenilebilir veya bir iksir haline getirilebilir.")</f>
        <v>Daha güçlü bir etki için yenilebilir veya bir iksir haline getirilebilir.</v>
      </c>
      <c r="G74" s="23" t="str">
        <f>IFERROR(__xludf.DUMMYFUNCTION("GOOGLETRANSLATE(B74, ""en"", ""pt"")"),"Pode ser consumido ou criado em uma poção para um efeito mais forte.")</f>
        <v>Pode ser consumido ou criado em uma poção para um efeito mais forte.</v>
      </c>
      <c r="H74" s="24" t="str">
        <f>IFERROR(__xludf.DUMMYFUNCTION("GOOGLETRANSLATE(B74, ""en"", ""de"")"),"Kann gegessen oder in einen Trank für eine stärkere Wirkung gefertigt werden.")</f>
        <v>Kann gegessen oder in einen Trank für eine stärkere Wirkung gefertigt werden.</v>
      </c>
      <c r="I74" s="23" t="str">
        <f>IFERROR(__xludf.DUMMYFUNCTION("GOOGLETRANSLATE(B74, ""en"", ""pl"")"),"Można jeść lub wykonać w miksturę, aby uzyskać silniejszy efekt.")</f>
        <v>Można jeść lub wykonać w miksturę, aby uzyskać silniejszy efekt.</v>
      </c>
      <c r="J74" s="25" t="str">
        <f>IFERROR(__xludf.DUMMYFUNCTION("GOOGLETRANSLATE(B74, ""en"", ""zh"")"),"可以食用或制成药水以产生更强的作用。")</f>
        <v>可以食用或制成药水以产生更强的作用。</v>
      </c>
      <c r="K74" s="25" t="str">
        <f>IFERROR(__xludf.DUMMYFUNCTION("GOOGLETRANSLATE(B74, ""en"", ""vi"")"),"Có thể được ăn, hoặc chế tạo thành một lọ thuốc để có tác dụng mạnh hơn.")</f>
        <v>Có thể được ăn, hoặc chế tạo thành một lọ thuốc để có tác dụng mạnh hơn.</v>
      </c>
      <c r="L74" s="42" t="str">
        <f>IFERROR(__xludf.DUMMYFUNCTION("GOOGLETRANSLATE(B74, ""en"", ""hr"")"),"Može se jesti ili izraditi u napitak za jači učinak.")</f>
        <v>Može se jesti ili izraditi u napitak za jači učinak.</v>
      </c>
      <c r="M74" s="26"/>
      <c r="N74" s="26"/>
      <c r="O74" s="26"/>
      <c r="P74" s="26"/>
      <c r="Q74" s="26"/>
      <c r="R74" s="26"/>
      <c r="S74" s="26"/>
      <c r="T74" s="26"/>
      <c r="U74" s="26"/>
      <c r="V74" s="26"/>
      <c r="W74" s="26"/>
      <c r="X74" s="26"/>
      <c r="Y74" s="26"/>
      <c r="Z74" s="26"/>
      <c r="AA74" s="26"/>
      <c r="AB74" s="26"/>
    </row>
    <row r="75">
      <c r="A75" s="44" t="s">
        <v>602</v>
      </c>
      <c r="B75" s="22" t="s">
        <v>603</v>
      </c>
      <c r="C75" s="23" t="str">
        <f>IFERROR(__xludf.DUMMYFUNCTION("GOOGLETRANSLATE(B75, ""en"", ""fr"")"),"Casquette bleue")</f>
        <v>Casquette bleue</v>
      </c>
      <c r="D75" s="23" t="str">
        <f>IFERROR(__xludf.DUMMYFUNCTION("GOOGLETRANSLATE(B75, ""en"", ""es"")"),"Gorra azul")</f>
        <v>Gorra azul</v>
      </c>
      <c r="E75" s="23" t="str">
        <f>IFERROR(__xludf.DUMMYFUNCTION("GOOGLETRANSLATE(B75, ""en"", ""ru"")"),"BlueCap")</f>
        <v>BlueCap</v>
      </c>
      <c r="F75" s="23" t="str">
        <f>IFERROR(__xludf.DUMMYFUNCTION("GOOGLETRANSLATE(B75, ""en"", ""tr"")"),"Mavi şapka")</f>
        <v>Mavi şapka</v>
      </c>
      <c r="G75" s="23" t="str">
        <f>IFERROR(__xludf.DUMMYFUNCTION("GOOGLETRANSLATE(B75, ""en"", ""pt"")"),"Boné azul")</f>
        <v>Boné azul</v>
      </c>
      <c r="H75" s="24" t="str">
        <f>IFERROR(__xludf.DUMMYFUNCTION("GOOGLETRANSLATE(B75, ""en"", ""de"")"),"Blaue Kappe")</f>
        <v>Blaue Kappe</v>
      </c>
      <c r="I75" s="23" t="str">
        <f>IFERROR(__xludf.DUMMYFUNCTION("GOOGLETRANSLATE(B75, ""en"", ""pl"")"),"Niebieska czapka")</f>
        <v>Niebieska czapka</v>
      </c>
      <c r="J75" s="25" t="str">
        <f>IFERROR(__xludf.DUMMYFUNCTION("GOOGLETRANSLATE(B75, ""en"", ""zh"")"),"蓝色")</f>
        <v>蓝色</v>
      </c>
      <c r="K75" s="25" t="str">
        <f>IFERROR(__xludf.DUMMYFUNCTION("GOOGLETRANSLATE(B75, ""en"", ""vi"")"),"Mũ lưỡi trai màu xanh")</f>
        <v>Mũ lưỡi trai màu xanh</v>
      </c>
      <c r="L75" s="42" t="str">
        <f>IFERROR(__xludf.DUMMYFUNCTION("GOOGLETRANSLATE(B75, ""en"", ""hr"")"),"Bluecap")</f>
        <v>Bluecap</v>
      </c>
      <c r="M75" s="26"/>
      <c r="N75" s="26"/>
      <c r="O75" s="26"/>
      <c r="P75" s="26"/>
      <c r="Q75" s="26"/>
      <c r="R75" s="26"/>
      <c r="S75" s="26"/>
      <c r="T75" s="26"/>
      <c r="U75" s="26"/>
      <c r="V75" s="26"/>
      <c r="W75" s="26"/>
      <c r="X75" s="26"/>
      <c r="Y75" s="26"/>
      <c r="Z75" s="26"/>
      <c r="AA75" s="26"/>
      <c r="AB75" s="26"/>
    </row>
    <row r="76">
      <c r="A76" s="44" t="s">
        <v>604</v>
      </c>
      <c r="B76" s="22" t="s">
        <v>598</v>
      </c>
      <c r="C76" s="23" t="str">
        <f>IFERROR(__xludf.DUMMYFUNCTION("GOOGLETRANSLATE(B76, ""en"", ""fr"")"),"Peut être consommé ou fabriqué en une potion pour un effet plus fort.")</f>
        <v>Peut être consommé ou fabriqué en une potion pour un effet plus fort.</v>
      </c>
      <c r="D76" s="23" t="str">
        <f>IFERROR(__xludf.DUMMYFUNCTION("GOOGLETRANSLATE(B76, ""en"", ""es"")"),"Se puede comer o hacer en una poción para un efecto más fuerte.")</f>
        <v>Se puede comer o hacer en una poción para un efecto más fuerte.</v>
      </c>
      <c r="E76" s="23" t="str">
        <f>IFERROR(__xludf.DUMMYFUNCTION("GOOGLETRANSLATE(B76, ""en"", ""ru"")"),"Можно съесть или приготовить в зелье для более сильного эффекта.")</f>
        <v>Можно съесть или приготовить в зелье для более сильного эффекта.</v>
      </c>
      <c r="F76" s="23" t="str">
        <f>IFERROR(__xludf.DUMMYFUNCTION("GOOGLETRANSLATE(B76, ""en"", ""tr"")"),"Daha güçlü bir etki için yenilebilir veya bir iksir haline getirilebilir.")</f>
        <v>Daha güçlü bir etki için yenilebilir veya bir iksir haline getirilebilir.</v>
      </c>
      <c r="G76" s="23" t="str">
        <f>IFERROR(__xludf.DUMMYFUNCTION("GOOGLETRANSLATE(B76, ""en"", ""pt"")"),"Pode ser consumido ou criado em uma poção para um efeito mais forte.")</f>
        <v>Pode ser consumido ou criado em uma poção para um efeito mais forte.</v>
      </c>
      <c r="H76" s="24" t="str">
        <f>IFERROR(__xludf.DUMMYFUNCTION("GOOGLETRANSLATE(B76, ""en"", ""de"")"),"Kann gegessen oder in einen Trank für eine stärkere Wirkung gefertigt werden.")</f>
        <v>Kann gegessen oder in einen Trank für eine stärkere Wirkung gefertigt werden.</v>
      </c>
      <c r="I76" s="23" t="str">
        <f>IFERROR(__xludf.DUMMYFUNCTION("GOOGLETRANSLATE(B76, ""en"", ""pl"")"),"Można jeść lub wykonać w miksturę, aby uzyskać silniejszy efekt.")</f>
        <v>Można jeść lub wykonać w miksturę, aby uzyskać silniejszy efekt.</v>
      </c>
      <c r="J76" s="25" t="str">
        <f>IFERROR(__xludf.DUMMYFUNCTION("GOOGLETRANSLATE(B76, ""en"", ""zh"")"),"可以食用或制成药水以产生更强的作用。")</f>
        <v>可以食用或制成药水以产生更强的作用。</v>
      </c>
      <c r="K76" s="25" t="str">
        <f>IFERROR(__xludf.DUMMYFUNCTION("GOOGLETRANSLATE(B76, ""en"", ""vi"")"),"Có thể được ăn, hoặc chế tạo thành một lọ thuốc để có tác dụng mạnh hơn.")</f>
        <v>Có thể được ăn, hoặc chế tạo thành một lọ thuốc để có tác dụng mạnh hơn.</v>
      </c>
      <c r="L76" s="42" t="str">
        <f>IFERROR(__xludf.DUMMYFUNCTION("GOOGLETRANSLATE(B76, ""en"", ""hr"")"),"Može se jesti ili izraditi u napitak za jači učinak.")</f>
        <v>Može se jesti ili izraditi u napitak za jači učinak.</v>
      </c>
      <c r="M76" s="26"/>
      <c r="N76" s="26"/>
      <c r="O76" s="26"/>
      <c r="P76" s="26"/>
      <c r="Q76" s="26"/>
      <c r="R76" s="26"/>
      <c r="S76" s="26"/>
      <c r="T76" s="26"/>
      <c r="U76" s="26"/>
      <c r="V76" s="26"/>
      <c r="W76" s="26"/>
      <c r="X76" s="26"/>
      <c r="Y76" s="26"/>
      <c r="Z76" s="26"/>
      <c r="AA76" s="26"/>
      <c r="AB76" s="26"/>
    </row>
    <row r="77">
      <c r="A77" s="44" t="s">
        <v>605</v>
      </c>
      <c r="B77" s="22" t="s">
        <v>606</v>
      </c>
      <c r="C77" s="23" t="str">
        <f>IFERROR(__xludf.DUMMYFUNCTION("GOOGLETRANSLATE(B77, ""en"", ""fr"")"),"Fléau")</f>
        <v>Fléau</v>
      </c>
      <c r="D77" s="23" t="str">
        <f>IFERROR(__xludf.DUMMYFUNCTION("GOOGLETRANSLATE(B77, ""en"", ""es"")"),"Escarcha")</f>
        <v>Escarcha</v>
      </c>
      <c r="E77" s="23" t="str">
        <f>IFERROR(__xludf.DUMMYFUNCTION("GOOGLETRANSLATE(B77, ""en"", ""ru"")"),"Frostcap")</f>
        <v>Frostcap</v>
      </c>
      <c r="F77" s="23" t="str">
        <f>IFERROR(__xludf.DUMMYFUNCTION("GOOGLETRANSLATE(B77, ""en"", ""tr"")"),"Donma")</f>
        <v>Donma</v>
      </c>
      <c r="G77" s="23" t="str">
        <f>IFERROR(__xludf.DUMMYFUNCTION("GOOGLETRANSLATE(B77, ""en"", ""pt"")"),"Frostcap")</f>
        <v>Frostcap</v>
      </c>
      <c r="H77" s="24" t="str">
        <f>IFERROR(__xludf.DUMMYFUNCTION("GOOGLETRANSLATE(B77, ""en"", ""de"")"),"Frostcap")</f>
        <v>Frostcap</v>
      </c>
      <c r="I77" s="23" t="str">
        <f>IFERROR(__xludf.DUMMYFUNCTION("GOOGLETRANSLATE(B77, ""en"", ""pl"")"),"Frostcap")</f>
        <v>Frostcap</v>
      </c>
      <c r="J77" s="25" t="str">
        <f>IFERROR(__xludf.DUMMYFUNCTION("GOOGLETRANSLATE(B77, ""en"", ""zh"")"),"Frostcap")</f>
        <v>Frostcap</v>
      </c>
      <c r="K77" s="25" t="str">
        <f>IFERROR(__xludf.DUMMYFUNCTION("GOOGLETRANSLATE(B77, ""en"", ""vi"")"),"Frostcap")</f>
        <v>Frostcap</v>
      </c>
      <c r="L77" s="42" t="str">
        <f>IFERROR(__xludf.DUMMYFUNCTION("GOOGLETRANSLATE(B77, ""en"", ""hr"")"),"Leprša")</f>
        <v>Leprša</v>
      </c>
      <c r="M77" s="26"/>
      <c r="N77" s="26"/>
      <c r="O77" s="26"/>
      <c r="P77" s="26"/>
      <c r="Q77" s="26"/>
      <c r="R77" s="26"/>
      <c r="S77" s="26"/>
      <c r="T77" s="26"/>
      <c r="U77" s="26"/>
      <c r="V77" s="26"/>
      <c r="W77" s="26"/>
      <c r="X77" s="26"/>
      <c r="Y77" s="26"/>
      <c r="Z77" s="26"/>
      <c r="AA77" s="26"/>
      <c r="AB77" s="26"/>
    </row>
    <row r="78">
      <c r="A78" s="44" t="s">
        <v>607</v>
      </c>
      <c r="B78" s="22" t="s">
        <v>598</v>
      </c>
      <c r="C78" s="23" t="str">
        <f>IFERROR(__xludf.DUMMYFUNCTION("GOOGLETRANSLATE(B78, ""en"", ""fr"")"),"Peut être consommé ou fabriqué en une potion pour un effet plus fort.")</f>
        <v>Peut être consommé ou fabriqué en une potion pour un effet plus fort.</v>
      </c>
      <c r="D78" s="23" t="str">
        <f>IFERROR(__xludf.DUMMYFUNCTION("GOOGLETRANSLATE(B78, ""en"", ""es"")"),"Se puede comer o hacer en una poción para un efecto más fuerte.")</f>
        <v>Se puede comer o hacer en una poción para un efecto más fuerte.</v>
      </c>
      <c r="E78" s="23" t="str">
        <f>IFERROR(__xludf.DUMMYFUNCTION("GOOGLETRANSLATE(B78, ""en"", ""ru"")"),"Можно съесть или приготовить в зелье для более сильного эффекта.")</f>
        <v>Можно съесть или приготовить в зелье для более сильного эффекта.</v>
      </c>
      <c r="F78" s="23" t="str">
        <f>IFERROR(__xludf.DUMMYFUNCTION("GOOGLETRANSLATE(B78, ""en"", ""tr"")"),"Daha güçlü bir etki için yenilebilir veya bir iksir haline getirilebilir.")</f>
        <v>Daha güçlü bir etki için yenilebilir veya bir iksir haline getirilebilir.</v>
      </c>
      <c r="G78" s="23" t="str">
        <f>IFERROR(__xludf.DUMMYFUNCTION("GOOGLETRANSLATE(B78, ""en"", ""pt"")"),"Pode ser consumido ou criado em uma poção para um efeito mais forte.")</f>
        <v>Pode ser consumido ou criado em uma poção para um efeito mais forte.</v>
      </c>
      <c r="H78" s="24" t="str">
        <f>IFERROR(__xludf.DUMMYFUNCTION("GOOGLETRANSLATE(B78, ""en"", ""de"")"),"Kann gegessen oder in einen Trank für eine stärkere Wirkung gefertigt werden.")</f>
        <v>Kann gegessen oder in einen Trank für eine stärkere Wirkung gefertigt werden.</v>
      </c>
      <c r="I78" s="23" t="str">
        <f>IFERROR(__xludf.DUMMYFUNCTION("GOOGLETRANSLATE(B78, ""en"", ""pl"")"),"Można jeść lub wykonać w miksturę, aby uzyskać silniejszy efekt.")</f>
        <v>Można jeść lub wykonać w miksturę, aby uzyskać silniejszy efekt.</v>
      </c>
      <c r="J78" s="25" t="str">
        <f>IFERROR(__xludf.DUMMYFUNCTION("GOOGLETRANSLATE(B78, ""en"", ""zh"")"),"可以食用或制成药水以产生更强的作用。")</f>
        <v>可以食用或制成药水以产生更强的作用。</v>
      </c>
      <c r="K78" s="25" t="str">
        <f>IFERROR(__xludf.DUMMYFUNCTION("GOOGLETRANSLATE(B78, ""en"", ""vi"")"),"Có thể được ăn, hoặc chế tạo thành một lọ thuốc để có tác dụng mạnh hơn.")</f>
        <v>Có thể được ăn, hoặc chế tạo thành một lọ thuốc để có tác dụng mạnh hơn.</v>
      </c>
      <c r="L78" s="42" t="str">
        <f>IFERROR(__xludf.DUMMYFUNCTION("GOOGLETRANSLATE(B78, ""en"", ""hr"")"),"Može se jesti ili izraditi u napitak za jači učinak.")</f>
        <v>Može se jesti ili izraditi u napitak za jači učinak.</v>
      </c>
      <c r="M78" s="26"/>
      <c r="N78" s="26"/>
      <c r="O78" s="26"/>
      <c r="P78" s="26"/>
      <c r="Q78" s="26"/>
      <c r="R78" s="26"/>
      <c r="S78" s="26"/>
      <c r="T78" s="26"/>
      <c r="U78" s="26"/>
      <c r="V78" s="26"/>
      <c r="W78" s="26"/>
      <c r="X78" s="26"/>
      <c r="Y78" s="26"/>
      <c r="Z78" s="26"/>
      <c r="AA78" s="26"/>
      <c r="AB78" s="26"/>
    </row>
    <row r="79">
      <c r="A79" s="43" t="s">
        <v>608</v>
      </c>
      <c r="B79" s="22" t="s">
        <v>609</v>
      </c>
      <c r="C79" s="23" t="str">
        <f>IFERROR(__xludf.DUMMYFUNCTION("GOOGLETRANSLATE(B79, ""en"", ""fr"")"),"Potion de vie")</f>
        <v>Potion de vie</v>
      </c>
      <c r="D79" s="23" t="str">
        <f>IFERROR(__xludf.DUMMYFUNCTION("GOOGLETRANSLATE(B79, ""en"", ""es"")"),"Poción de salud")</f>
        <v>Poción de salud</v>
      </c>
      <c r="E79" s="23" t="str">
        <f>IFERROR(__xludf.DUMMYFUNCTION("GOOGLETRANSLATE(B79, ""en"", ""ru"")"),"Здоровое зелье")</f>
        <v>Здоровое зелье</v>
      </c>
      <c r="F79" s="23" t="str">
        <f>IFERROR(__xludf.DUMMYFUNCTION("GOOGLETRANSLATE(B79, ""en"", ""tr"")"),"Can iksiri")</f>
        <v>Can iksiri</v>
      </c>
      <c r="G79" s="23" t="str">
        <f>IFERROR(__xludf.DUMMYFUNCTION("GOOGLETRANSLATE(B79, ""en"", ""pt"")"),"Poção de saúde")</f>
        <v>Poção de saúde</v>
      </c>
      <c r="H79" s="24" t="str">
        <f>IFERROR(__xludf.DUMMYFUNCTION("GOOGLETRANSLATE(B79, ""en"", ""de"")"),"Gesundheitstrank")</f>
        <v>Gesundheitstrank</v>
      </c>
      <c r="I79" s="23" t="str">
        <f>IFERROR(__xludf.DUMMYFUNCTION("GOOGLETRANSLATE(B79, ""en"", ""pl"")"),"Mikstura zdrowia")</f>
        <v>Mikstura zdrowia</v>
      </c>
      <c r="J79" s="25" t="str">
        <f>IFERROR(__xludf.DUMMYFUNCTION("GOOGLETRANSLATE(B79, ""en"", ""zh"")"),"健康药水")</f>
        <v>健康药水</v>
      </c>
      <c r="K79" s="25" t="str">
        <f>IFERROR(__xludf.DUMMYFUNCTION("GOOGLETRANSLATE(B79, ""en"", ""vi"")"),"Bình máu")</f>
        <v>Bình máu</v>
      </c>
      <c r="L79" s="42" t="str">
        <f>IFERROR(__xludf.DUMMYFUNCTION("GOOGLETRANSLATE(B79, ""en"", ""hr"")"),"Napitak za zdravlje")</f>
        <v>Napitak za zdravlje</v>
      </c>
      <c r="M79" s="26"/>
      <c r="N79" s="26"/>
      <c r="O79" s="26"/>
      <c r="P79" s="26"/>
      <c r="Q79" s="26"/>
      <c r="R79" s="26"/>
      <c r="S79" s="26"/>
      <c r="T79" s="26"/>
      <c r="U79" s="26"/>
      <c r="V79" s="26"/>
      <c r="W79" s="26"/>
      <c r="X79" s="26"/>
      <c r="Y79" s="26"/>
      <c r="Z79" s="26"/>
      <c r="AA79" s="26"/>
      <c r="AB79" s="26"/>
    </row>
    <row r="80">
      <c r="A80" s="43" t="s">
        <v>610</v>
      </c>
      <c r="B80" s="22" t="s">
        <v>611</v>
      </c>
      <c r="C80" s="23" t="str">
        <f>IFERROR(__xludf.DUMMYFUNCTION("GOOGLETRANSLATE(B80, ""en"", ""fr"")"),"Restaure certains points de vie au fil du temps lorsqu'ils sont utilisés.")</f>
        <v>Restaure certains points de vie au fil du temps lorsqu'ils sont utilisés.</v>
      </c>
      <c r="D80" s="23" t="str">
        <f>IFERROR(__xludf.DUMMYFUNCTION("GOOGLETRANSLATE(B80, ""en"", ""es"")"),"Restaura algunos puntos de hits con el tiempo cuando se usa.")</f>
        <v>Restaura algunos puntos de hits con el tiempo cuando se usa.</v>
      </c>
      <c r="E80" s="23" t="str">
        <f>IFERROR(__xludf.DUMMYFUNCTION("GOOGLETRANSLATE(B80, ""en"", ""ru"")"),"Восстанавливает несколько точек хит -хэт с течением времени при использовании.")</f>
        <v>Восстанавливает несколько точек хит -хэт с течением времени при использовании.</v>
      </c>
      <c r="F80" s="23" t="str">
        <f>IFERROR(__xludf.DUMMYFUNCTION("GOOGLETRANSLATE(B80, ""en"", ""tr"")"),"Kullanıldığında zaman içinde bazı vuruş noktalarını geri yükler.")</f>
        <v>Kullanıldığında zaman içinde bazı vuruş noktalarını geri yükler.</v>
      </c>
      <c r="G80" s="23" t="str">
        <f>IFERROR(__xludf.DUMMYFUNCTION("GOOGLETRANSLATE(B80, ""en"", ""pt"")"),"Restaura alguns pontos de vida ao longo do tempo quando usados.")</f>
        <v>Restaura alguns pontos de vida ao longo do tempo quando usados.</v>
      </c>
      <c r="H80" s="24" t="str">
        <f>IFERROR(__xludf.DUMMYFUNCTION("GOOGLETRANSLATE(B80, ""en"", ""de"")"),"Stellt einige Trefferpunkte im Laufe der Zeit wieder her.")</f>
        <v>Stellt einige Trefferpunkte im Laufe der Zeit wieder her.</v>
      </c>
      <c r="I80" s="23" t="str">
        <f>IFERROR(__xludf.DUMMYFUNCTION("GOOGLETRANSLATE(B80, ""en"", ""pl"")"),"Przywracają niektóre punkty hit, gdy są używane.")</f>
        <v>Przywracają niektóre punkty hit, gdy są używane.</v>
      </c>
      <c r="J80" s="25" t="str">
        <f>IFERROR(__xludf.DUMMYFUNCTION("GOOGLETRANSLATE(B80, ""en"", ""zh"")"),"随着时间的推移，随着时间的推移恢复了一些命名度。")</f>
        <v>随着时间的推移，随着时间的推移恢复了一些命名度。</v>
      </c>
      <c r="K80" s="25" t="str">
        <f>IFERROR(__xludf.DUMMYFUNCTION("GOOGLETRANSLATE(B80, ""en"", ""vi"")"),"Khôi phục một số điểm hit theo thời gian khi sử dụng.")</f>
        <v>Khôi phục một số điểm hit theo thời gian khi sử dụng.</v>
      </c>
      <c r="L80" s="42" t="str">
        <f>IFERROR(__xludf.DUMMYFUNCTION("GOOGLETRANSLATE(B80, ""en"", ""hr"")"),"Vraća neke udarne točke s vremenom kada se koriste.")</f>
        <v>Vraća neke udarne točke s vremenom kada se koriste.</v>
      </c>
      <c r="M80" s="26"/>
      <c r="N80" s="26"/>
      <c r="O80" s="26"/>
      <c r="P80" s="26"/>
      <c r="Q80" s="26"/>
      <c r="R80" s="26"/>
      <c r="S80" s="26"/>
      <c r="T80" s="26"/>
      <c r="U80" s="26"/>
      <c r="V80" s="26"/>
      <c r="W80" s="26"/>
      <c r="X80" s="26"/>
      <c r="Y80" s="26"/>
      <c r="Z80" s="26"/>
      <c r="AA80" s="26"/>
      <c r="AB80" s="26"/>
    </row>
    <row r="81">
      <c r="A81" s="43" t="s">
        <v>612</v>
      </c>
      <c r="B81" s="22" t="s">
        <v>613</v>
      </c>
      <c r="C81" s="23" t="str">
        <f>IFERROR(__xludf.DUMMYFUNCTION("GOOGLETRANSLATE(B81, ""en"", ""fr"")"),"Potion d'énergie")</f>
        <v>Potion d'énergie</v>
      </c>
      <c r="D81" s="23" t="str">
        <f>IFERROR(__xludf.DUMMYFUNCTION("GOOGLETRANSLATE(B81, ""en"", ""es"")"),"Poción de energía")</f>
        <v>Poción de energía</v>
      </c>
      <c r="E81" s="23" t="str">
        <f>IFERROR(__xludf.DUMMYFUNCTION("GOOGLETRANSLATE(B81, ""en"", ""ru"")"),"Энергетическое зелье")</f>
        <v>Энергетическое зелье</v>
      </c>
      <c r="F81" s="23" t="str">
        <f>IFERROR(__xludf.DUMMYFUNCTION("GOOGLETRANSLATE(B81, ""en"", ""tr"")"),"Enerji iksiri")</f>
        <v>Enerji iksiri</v>
      </c>
      <c r="G81" s="23" t="str">
        <f>IFERROR(__xludf.DUMMYFUNCTION("GOOGLETRANSLATE(B81, ""en"", ""pt"")"),"Poção de energia")</f>
        <v>Poção de energia</v>
      </c>
      <c r="H81" s="24" t="str">
        <f>IFERROR(__xludf.DUMMYFUNCTION("GOOGLETRANSLATE(B81, ""en"", ""de"")"),"Energietrank")</f>
        <v>Energietrank</v>
      </c>
      <c r="I81" s="23" t="str">
        <f>IFERROR(__xludf.DUMMYFUNCTION("GOOGLETRANSLATE(B81, ""en"", ""pl"")"),"Mikstura energetyczna")</f>
        <v>Mikstura energetyczna</v>
      </c>
      <c r="J81" s="25" t="str">
        <f>IFERROR(__xludf.DUMMYFUNCTION("GOOGLETRANSLATE(B81, ""en"", ""zh"")"),"能量药水")</f>
        <v>能量药水</v>
      </c>
      <c r="K81" s="25" t="str">
        <f>IFERROR(__xludf.DUMMYFUNCTION("GOOGLETRANSLATE(B81, ""en"", ""vi"")"),"Potion năng lượng")</f>
        <v>Potion năng lượng</v>
      </c>
      <c r="L81" s="42" t="str">
        <f>IFERROR(__xludf.DUMMYFUNCTION("GOOGLETRANSLATE(B81, ""en"", ""hr"")"),"Energetski napitak")</f>
        <v>Energetski napitak</v>
      </c>
      <c r="M81" s="26"/>
      <c r="N81" s="26"/>
      <c r="O81" s="26"/>
      <c r="P81" s="26"/>
      <c r="Q81" s="26"/>
      <c r="R81" s="26"/>
      <c r="S81" s="26"/>
      <c r="T81" s="26"/>
      <c r="U81" s="26"/>
      <c r="V81" s="26"/>
      <c r="W81" s="26"/>
      <c r="X81" s="26"/>
      <c r="Y81" s="26"/>
      <c r="Z81" s="26"/>
      <c r="AA81" s="26"/>
      <c r="AB81" s="26"/>
    </row>
    <row r="82">
      <c r="A82" s="43" t="s">
        <v>614</v>
      </c>
      <c r="B82" s="22" t="s">
        <v>615</v>
      </c>
      <c r="C82" s="23" t="str">
        <f>IFERROR(__xludf.DUMMYFUNCTION("GOOGLETRANSLATE(B82, ""en"", ""fr"")"),"Restaure de l'énergie au fil du temps lorsqu'il est utilisé.")</f>
        <v>Restaure de l'énergie au fil du temps lorsqu'il est utilisé.</v>
      </c>
      <c r="D82" s="23" t="str">
        <f>IFERROR(__xludf.DUMMYFUNCTION("GOOGLETRANSLATE(B82, ""en"", ""es"")"),"Restaura algo de energía con el tiempo cuando se usa.")</f>
        <v>Restaura algo de energía con el tiempo cuando se usa.</v>
      </c>
      <c r="E82" s="23" t="str">
        <f>IFERROR(__xludf.DUMMYFUNCTION("GOOGLETRANSLATE(B82, ""en"", ""ru"")"),"Восстанавливает некоторую энергию с течением времени при использовании.")</f>
        <v>Восстанавливает некоторую энергию с течением времени при использовании.</v>
      </c>
      <c r="F82" s="23" t="str">
        <f>IFERROR(__xludf.DUMMYFUNCTION("GOOGLETRANSLATE(B82, ""en"", ""tr"")"),"Kullanıldığında zaman içinde biraz enerjiyi geri yükler.")</f>
        <v>Kullanıldığında zaman içinde biraz enerjiyi geri yükler.</v>
      </c>
      <c r="G82" s="23" t="str">
        <f>IFERROR(__xludf.DUMMYFUNCTION("GOOGLETRANSLATE(B82, ""en"", ""pt"")"),"Restaura alguma energia ao longo do tempo quando usado.")</f>
        <v>Restaura alguma energia ao longo do tempo quando usado.</v>
      </c>
      <c r="H82" s="24" t="str">
        <f>IFERROR(__xludf.DUMMYFUNCTION("GOOGLETRANSLATE(B82, ""en"", ""de"")"),"Stellt im Rahmen der Verwendung im Laufe der Zeit etwas Energie wieder her.")</f>
        <v>Stellt im Rahmen der Verwendung im Laufe der Zeit etwas Energie wieder her.</v>
      </c>
      <c r="I82" s="23" t="str">
        <f>IFERROR(__xludf.DUMMYFUNCTION("GOOGLETRANSLATE(B82, ""en"", ""pl"")"),"Zwraca energię z czasem, gdy jest używany.")</f>
        <v>Zwraca energię z czasem, gdy jest używany.</v>
      </c>
      <c r="J82" s="25" t="str">
        <f>IFERROR(__xludf.DUMMYFUNCTION("GOOGLETRANSLATE(B82, ""en"", ""zh"")"),"随着时间的流逝，恢复了一些能量。")</f>
        <v>随着时间的流逝，恢复了一些能量。</v>
      </c>
      <c r="K82" s="25" t="str">
        <f>IFERROR(__xludf.DUMMYFUNCTION("GOOGLETRANSLATE(B82, ""en"", ""vi"")"),"Phục hồi một số năng lượng theo thời gian khi sử dụng.")</f>
        <v>Phục hồi một số năng lượng theo thời gian khi sử dụng.</v>
      </c>
      <c r="L82" s="42" t="str">
        <f>IFERROR(__xludf.DUMMYFUNCTION("GOOGLETRANSLATE(B82, ""en"", ""hr"")"),"Vraća malo energije tijekom vremena kada se koristi.")</f>
        <v>Vraća malo energije tijekom vremena kada se koristi.</v>
      </c>
      <c r="M82" s="26"/>
      <c r="N82" s="26"/>
      <c r="O82" s="26"/>
      <c r="P82" s="26"/>
      <c r="Q82" s="26"/>
      <c r="R82" s="26"/>
      <c r="S82" s="26"/>
      <c r="T82" s="26"/>
      <c r="U82" s="26"/>
      <c r="V82" s="26"/>
      <c r="W82" s="26"/>
      <c r="X82" s="26"/>
      <c r="Y82" s="26"/>
      <c r="Z82" s="26"/>
      <c r="AA82" s="26"/>
      <c r="AB82" s="26"/>
    </row>
    <row r="83">
      <c r="A83" s="43" t="s">
        <v>616</v>
      </c>
      <c r="B83" s="22" t="s">
        <v>617</v>
      </c>
      <c r="C83" s="23" t="str">
        <f>IFERROR(__xludf.DUMMYFUNCTION("GOOGLETRANSLATE(B83, ""en"", ""fr"")"),"Guérir la potion")</f>
        <v>Guérir la potion</v>
      </c>
      <c r="D83" s="23" t="str">
        <f>IFERROR(__xludf.DUMMYFUNCTION("GOOGLETRANSLATE(B83, ""en"", ""es"")"),"Poción de cura")</f>
        <v>Poción de cura</v>
      </c>
      <c r="E83" s="23" t="str">
        <f>IFERROR(__xludf.DUMMYFUNCTION("GOOGLETRANSLATE(B83, ""en"", ""ru"")"),"Кюре зелье")</f>
        <v>Кюре зелье</v>
      </c>
      <c r="F83" s="23" t="str">
        <f>IFERROR(__xludf.DUMMYFUNCTION("GOOGLETRANSLATE(B83, ""en"", ""tr"")"),"İksir")</f>
        <v>İksir</v>
      </c>
      <c r="G83" s="23" t="str">
        <f>IFERROR(__xludf.DUMMYFUNCTION("GOOGLETRANSLATE(B83, ""en"", ""pt"")"),"Cura poção")</f>
        <v>Cura poção</v>
      </c>
      <c r="H83" s="24" t="str">
        <f>IFERROR(__xludf.DUMMYFUNCTION("GOOGLETRANSLATE(B83, ""en"", ""de"")"),"Trank heilen")</f>
        <v>Trank heilen</v>
      </c>
      <c r="I83" s="23" t="str">
        <f>IFERROR(__xludf.DUMMYFUNCTION("GOOGLETRANSLATE(B83, ""en"", ""pl"")"),"Mikstura lecz")</f>
        <v>Mikstura lecz</v>
      </c>
      <c r="J83" s="25" t="str">
        <f>IFERROR(__xludf.DUMMYFUNCTION("GOOGLETRANSLATE(B83, ""en"", ""zh"")"),"治愈药水")</f>
        <v>治愈药水</v>
      </c>
      <c r="K83" s="25" t="str">
        <f>IFERROR(__xludf.DUMMYFUNCTION("GOOGLETRANSLATE(B83, ""en"", ""vi"")"),"Chữa thuốc")</f>
        <v>Chữa thuốc</v>
      </c>
      <c r="L83" s="42" t="str">
        <f>IFERROR(__xludf.DUMMYFUNCTION("GOOGLETRANSLATE(B83, ""en"", ""hr"")"),"Izliječiti")</f>
        <v>Izliječiti</v>
      </c>
      <c r="M83" s="26"/>
      <c r="N83" s="26"/>
      <c r="O83" s="26"/>
      <c r="P83" s="26"/>
      <c r="Q83" s="26"/>
      <c r="R83" s="26"/>
      <c r="S83" s="26"/>
      <c r="T83" s="26"/>
      <c r="U83" s="26"/>
      <c r="V83" s="26"/>
      <c r="W83" s="26"/>
      <c r="X83" s="26"/>
      <c r="Y83" s="26"/>
      <c r="Z83" s="26"/>
      <c r="AA83" s="26"/>
      <c r="AB83" s="26"/>
    </row>
    <row r="84">
      <c r="A84" s="43" t="s">
        <v>618</v>
      </c>
      <c r="B84" s="22" t="s">
        <v>619</v>
      </c>
      <c r="C84" s="23" t="str">
        <f>IFERROR(__xludf.DUMMYFUNCTION("GOOGLETRANSLATE(B84, ""en"", ""fr"")"),"Supprime le poison et la maladie et vous fait immunisé contre eux pendant un certain temps.")</f>
        <v>Supprime le poison et la maladie et vous fait immunisé contre eux pendant un certain temps.</v>
      </c>
      <c r="D84" s="23" t="str">
        <f>IFERROR(__xludf.DUMMYFUNCTION("GOOGLETRANSLATE(B84, ""en"", ""es"")"),"Elimina el veneno y la enfermedad y te hace inmune a ellas por un tiempo.")</f>
        <v>Elimina el veneno y la enfermedad y te hace inmune a ellas por un tiempo.</v>
      </c>
      <c r="E84" s="23" t="str">
        <f>IFERROR(__xludf.DUMMYFUNCTION("GOOGLETRANSLATE(B84, ""en"", ""ru"")"),"Удаляет яд и болезнь и делает вас невосприимчивым к ним некоторое время.")</f>
        <v>Удаляет яд и болезнь и делает вас невосприимчивым к ним некоторое время.</v>
      </c>
      <c r="F84" s="23" t="str">
        <f>IFERROR(__xludf.DUMMYFUNCTION("GOOGLETRANSLATE(B84, ""en"", ""tr"")"),"Zehir ve hastalığı ortadan kaldırır ve sizi bir süre onlara bağışıklaştırır.")</f>
        <v>Zehir ve hastalığı ortadan kaldırır ve sizi bir süre onlara bağışıklaştırır.</v>
      </c>
      <c r="G84" s="23" t="str">
        <f>IFERROR(__xludf.DUMMYFUNCTION("GOOGLETRANSLATE(B84, ""en"", ""pt"")"),"Remove veneno e doença e faz você imune a eles por um tempo.")</f>
        <v>Remove veneno e doença e faz você imune a eles por um tempo.</v>
      </c>
      <c r="H84" s="24" t="str">
        <f>IFERROR(__xludf.DUMMYFUNCTION("GOOGLETRANSLATE(B84, ""en"", ""de"")"),"Entfernt Gift und Krankheit und macht Sie für eine Weile immun gegen sie.")</f>
        <v>Entfernt Gift und Krankheit und macht Sie für eine Weile immun gegen sie.</v>
      </c>
      <c r="I84" s="23" t="str">
        <f>IFERROR(__xludf.DUMMYFUNCTION("GOOGLETRANSLATE(B84, ""en"", ""pl"")"),"Usuwa truciznę i choroby i przez chwilę sprawia im odporność.")</f>
        <v>Usuwa truciznę i choroby i przez chwilę sprawia im odporność.</v>
      </c>
      <c r="J84" s="25" t="str">
        <f>IFERROR(__xludf.DUMMYFUNCTION("GOOGLETRANSLATE(B84, ""en"", ""zh"")"),"去除毒药和疾病，使您对它们免疫一段时间。")</f>
        <v>去除毒药和疾病，使您对它们免疫一段时间。</v>
      </c>
      <c r="K84" s="25" t="str">
        <f>IFERROR(__xludf.DUMMYFUNCTION("GOOGLETRANSLATE(B84, ""en"", ""vi"")"),"Loại bỏ chất độc và bệnh tật và làm cho bạn miễn dịch với chúng trong một thời gian.")</f>
        <v>Loại bỏ chất độc và bệnh tật và làm cho bạn miễn dịch với chúng trong một thời gian.</v>
      </c>
      <c r="L84" s="42" t="str">
        <f>IFERROR(__xludf.DUMMYFUNCTION("GOOGLETRANSLATE(B84, ""en"", ""hr"")"),"Uklanja otrov i bolest i neko vrijeme vas čini imunitetom.")</f>
        <v>Uklanja otrov i bolest i neko vrijeme vas čini imunitetom.</v>
      </c>
      <c r="M84" s="26"/>
      <c r="N84" s="26"/>
      <c r="O84" s="26"/>
      <c r="P84" s="26"/>
      <c r="Q84" s="26"/>
      <c r="R84" s="26"/>
      <c r="S84" s="26"/>
      <c r="T84" s="26"/>
      <c r="U84" s="26"/>
      <c r="V84" s="26"/>
      <c r="W84" s="26"/>
      <c r="X84" s="26"/>
      <c r="Y84" s="26"/>
      <c r="Z84" s="26"/>
      <c r="AA84" s="26"/>
      <c r="AB84" s="26"/>
    </row>
    <row r="85">
      <c r="A85" s="43" t="s">
        <v>620</v>
      </c>
      <c r="B85" s="22" t="s">
        <v>621</v>
      </c>
      <c r="C85" s="23" t="str">
        <f>IFERROR(__xludf.DUMMYFUNCTION("GOOGLETRANSLATE(B85, ""en"", ""fr"")"),"Potion antigel")</f>
        <v>Potion antigel</v>
      </c>
      <c r="D85" s="23" t="str">
        <f>IFERROR(__xludf.DUMMYFUNCTION("GOOGLETRANSLATE(B85, ""en"", ""es"")"),"Poción contra la congelación")</f>
        <v>Poción contra la congelación</v>
      </c>
      <c r="E85" s="23" t="str">
        <f>IFERROR(__xludf.DUMMYFUNCTION("GOOGLETRANSLATE(B85, ""en"", ""ru"")"),"ДОЛЖНОЕ ЗАЙТИНА")</f>
        <v>ДОЛЖНОЕ ЗАЙТИНА</v>
      </c>
      <c r="F85" s="23" t="str">
        <f>IFERROR(__xludf.DUMMYFUNCTION("GOOGLETRANSLATE(B85, ""en"", ""tr"")"),"Dondurucu Anti-Ismyon")</f>
        <v>Dondurucu Anti-Ismyon</v>
      </c>
      <c r="G85" s="23" t="str">
        <f>IFERROR(__xludf.DUMMYFUNCTION("GOOGLETRANSLATE(B85, ""en"", ""pt"")"),"Poção anticongelante")</f>
        <v>Poção anticongelante</v>
      </c>
      <c r="H85" s="24" t="str">
        <f>IFERROR(__xludf.DUMMYFUNCTION("GOOGLETRANSLATE(B85, ""en"", ""de"")"),"Potion zum Frost")</f>
        <v>Potion zum Frost</v>
      </c>
      <c r="I85" s="23" t="str">
        <f>IFERROR(__xludf.DUMMYFUNCTION("GOOGLETRANSLATE(B85, ""en"", ""pl"")"),"Eliksja przeciw zamrożeniu")</f>
        <v>Eliksja przeciw zamrożeniu</v>
      </c>
      <c r="J85" s="25" t="str">
        <f>IFERROR(__xludf.DUMMYFUNCTION("GOOGLETRANSLATE(B85, ""en"", ""zh"")"),"抗冻药")</f>
        <v>抗冻药</v>
      </c>
      <c r="K85" s="25" t="str">
        <f>IFERROR(__xludf.DUMMYFUNCTION("GOOGLETRANSLATE(B85, ""en"", ""vi"")"),"Thuốc chống đóng băng")</f>
        <v>Thuốc chống đóng băng</v>
      </c>
      <c r="L85" s="42" t="str">
        <f>IFERROR(__xludf.DUMMYFUNCTION("GOOGLETRANSLATE(B85, ""en"", ""hr"")"),"Napitak protiv smrzavanja")</f>
        <v>Napitak protiv smrzavanja</v>
      </c>
      <c r="M85" s="26"/>
      <c r="N85" s="26"/>
      <c r="O85" s="26"/>
      <c r="P85" s="26"/>
      <c r="Q85" s="26"/>
      <c r="R85" s="26"/>
      <c r="S85" s="26"/>
      <c r="T85" s="26"/>
      <c r="U85" s="26"/>
      <c r="V85" s="26"/>
      <c r="W85" s="26"/>
      <c r="X85" s="26"/>
      <c r="Y85" s="26"/>
      <c r="Z85" s="26"/>
      <c r="AA85" s="26"/>
      <c r="AB85" s="26"/>
    </row>
    <row r="86">
      <c r="A86" s="43" t="s">
        <v>622</v>
      </c>
      <c r="B86" s="22" t="s">
        <v>623</v>
      </c>
      <c r="C86" s="23" t="str">
        <f>IFERROR(__xludf.DUMMYFUNCTION("GOOGLETRANSLATE(B86, ""en"", ""fr"")"),"Supprime le refroidissement et vous fait immunisé pendant un certain temps.")</f>
        <v>Supprime le refroidissement et vous fait immunisé pendant un certain temps.</v>
      </c>
      <c r="D86" s="23" t="str">
        <f>IFERROR(__xludf.DUMMYFUNCTION("GOOGLETRANSLATE(B86, ""en"", ""es"")"),"Elimina fría y te hace inmune a él por un tiempo.")</f>
        <v>Elimina fría y te hace inmune a él por un tiempo.</v>
      </c>
      <c r="E86" s="23" t="str">
        <f>IFERROR(__xludf.DUMMYFUNCTION("GOOGLETRANSLATE(B86, ""en"", ""ru"")"),"Удаляет охлаждение и заставляет вас некоторое время невосприимчивым к нему.")</f>
        <v>Удаляет охлаждение и заставляет вас некоторое время невосприимчивым к нему.</v>
      </c>
      <c r="F86" s="23" t="str">
        <f>IFERROR(__xludf.DUMMYFUNCTION("GOOGLETRANSLATE(B86, ""en"", ""tr"")"),"Soğutulmuş ve sizi bir süre bağışıklaştırır.")</f>
        <v>Soğutulmuş ve sizi bir süre bağışıklaştırır.</v>
      </c>
      <c r="G86" s="23" t="str">
        <f>IFERROR(__xludf.DUMMYFUNCTION("GOOGLETRANSLATE(B86, ""en"", ""pt"")"),"Remove refrigerado e o torna imune a isso por um tempo.")</f>
        <v>Remove refrigerado e o torna imune a isso por um tempo.</v>
      </c>
      <c r="H86" s="24" t="str">
        <f>IFERROR(__xludf.DUMMYFUNCTION("GOOGLETRANSLATE(B86, ""en"", ""de"")"),"Entfernt gekühlt und macht Sie für eine Weile immun.")</f>
        <v>Entfernt gekühlt und macht Sie für eine Weile immun.</v>
      </c>
      <c r="I86" s="23" t="str">
        <f>IFERROR(__xludf.DUMMYFUNCTION("GOOGLETRANSLATE(B86, ""en"", ""pl"")"),"Usuwa schłodzoną i sprawia, że ​​odporujesz na to przez jakiś czas.")</f>
        <v>Usuwa schłodzoną i sprawia, że ​​odporujesz na to przez jakiś czas.</v>
      </c>
      <c r="J86" s="25" t="str">
        <f>IFERROR(__xludf.DUMMYFUNCTION("GOOGLETRANSLATE(B86, ""en"", ""zh"")"),"去除冷藏，使您对它免疫一段时间。")</f>
        <v>去除冷藏，使您对它免疫一段时间。</v>
      </c>
      <c r="K86" s="25" t="str">
        <f>IFERROR(__xludf.DUMMYFUNCTION("GOOGLETRANSLATE(B86, ""en"", ""vi"")"),"Loại bỏ ướp lạnh và làm cho bạn miễn dịch với nó trong một thời gian.")</f>
        <v>Loại bỏ ướp lạnh và làm cho bạn miễn dịch với nó trong một thời gian.</v>
      </c>
      <c r="L86" s="42" t="str">
        <f>IFERROR(__xludf.DUMMYFUNCTION("GOOGLETRANSLATE(B86, ""en"", ""hr"")"),"Uklanja ohlađenu i neko vrijeme vas čini imunom.")</f>
        <v>Uklanja ohlađenu i neko vrijeme vas čini imunom.</v>
      </c>
      <c r="M86" s="26"/>
      <c r="N86" s="26"/>
      <c r="O86" s="26"/>
      <c r="P86" s="26"/>
      <c r="Q86" s="26"/>
      <c r="R86" s="26"/>
      <c r="S86" s="26"/>
      <c r="T86" s="26"/>
      <c r="U86" s="26"/>
      <c r="V86" s="26"/>
      <c r="W86" s="26"/>
      <c r="X86" s="26"/>
      <c r="Y86" s="26"/>
      <c r="Z86" s="26"/>
      <c r="AA86" s="26"/>
      <c r="AB86" s="26"/>
    </row>
    <row r="87">
      <c r="A87" s="21" t="s">
        <v>624</v>
      </c>
      <c r="B87" s="22" t="s">
        <v>625</v>
      </c>
      <c r="C87" s="23" t="str">
        <f>IFERROR(__xludf.DUMMYFUNCTION("GOOGLETRANSLATE(B87, ""en"", ""fr"")"),"Club en bois")</f>
        <v>Club en bois</v>
      </c>
      <c r="D87" s="23" t="str">
        <f>IFERROR(__xludf.DUMMYFUNCTION("GOOGLETRANSLATE(B87, ""en"", ""es"")"),"Club de madera")</f>
        <v>Club de madera</v>
      </c>
      <c r="E87" s="23" t="str">
        <f>IFERROR(__xludf.DUMMYFUNCTION("GOOGLETRANSLATE(B87, ""en"", ""ru"")"),"Деревянный клуб")</f>
        <v>Деревянный клуб</v>
      </c>
      <c r="F87" s="23" t="str">
        <f>IFERROR(__xludf.DUMMYFUNCTION("GOOGLETRANSLATE(B87, ""en"", ""tr"")"),"Ahşap kulüp")</f>
        <v>Ahşap kulüp</v>
      </c>
      <c r="G87" s="23" t="str">
        <f>IFERROR(__xludf.DUMMYFUNCTION("GOOGLETRANSLATE(B87, ""en"", ""pt"")"),"Clube de madeira")</f>
        <v>Clube de madeira</v>
      </c>
      <c r="H87" s="24" t="str">
        <f>IFERROR(__xludf.DUMMYFUNCTION("GOOGLETRANSLATE(B87, ""en"", ""de"")"),"Holzknüppel")</f>
        <v>Holzknüppel</v>
      </c>
      <c r="I87" s="23" t="str">
        <f>IFERROR(__xludf.DUMMYFUNCTION("GOOGLETRANSLATE(B87, ""en"", ""pl"")"),"Drewniany klub")</f>
        <v>Drewniany klub</v>
      </c>
      <c r="J87" s="25" t="str">
        <f>IFERROR(__xludf.DUMMYFUNCTION("GOOGLETRANSLATE(B87, ""en"", ""zh"")"),"棒槌")</f>
        <v>棒槌</v>
      </c>
      <c r="K87" s="25" t="str">
        <f>IFERROR(__xludf.DUMMYFUNCTION("GOOGLETRANSLATE(B87, ""en"", ""vi"")"),"Câu lạc bộ gỗ")</f>
        <v>Câu lạc bộ gỗ</v>
      </c>
      <c r="L87" s="42" t="str">
        <f>IFERROR(__xludf.DUMMYFUNCTION("GOOGLETRANSLATE(B87, ""en"", ""hr"")"),"Drveni klub")</f>
        <v>Drveni klub</v>
      </c>
      <c r="M87" s="26"/>
      <c r="N87" s="26"/>
      <c r="O87" s="26"/>
      <c r="P87" s="26"/>
      <c r="Q87" s="26"/>
      <c r="R87" s="26"/>
      <c r="S87" s="26"/>
      <c r="T87" s="26"/>
      <c r="U87" s="26"/>
      <c r="V87" s="26"/>
      <c r="W87" s="26"/>
      <c r="X87" s="26"/>
      <c r="Y87" s="26"/>
      <c r="Z87" s="26"/>
      <c r="AA87" s="26"/>
      <c r="AB87" s="26"/>
    </row>
    <row r="88">
      <c r="A88" s="21" t="s">
        <v>626</v>
      </c>
      <c r="B88" s="22" t="s">
        <v>627</v>
      </c>
      <c r="C88" s="23" t="str">
        <f>IFERROR(__xludf.DUMMYFUNCTION("GOOGLETRANSLATE(B88, ""en"", ""fr"")"),"Un gros bâton pour frapper les choses avec. Mieux que rien...")</f>
        <v>Un gros bâton pour frapper les choses avec. Mieux que rien...</v>
      </c>
      <c r="D88" s="23" t="str">
        <f>IFERROR(__xludf.DUMMYFUNCTION("GOOGLETRANSLATE(B88, ""en"", ""es"")"),"Un gran palo para golpear las cosas. Mejor que nada...")</f>
        <v>Un gran palo para golpear las cosas. Mejor que nada...</v>
      </c>
      <c r="E88" s="23" t="str">
        <f>IFERROR(__xludf.DUMMYFUNCTION("GOOGLETRANSLATE(B88, ""en"", ""ru"")"),"Большая палка, чтобы ударить вещи. Лучше чем ничего...")</f>
        <v>Большая палка, чтобы ударить вещи. Лучше чем ничего...</v>
      </c>
      <c r="F88" s="23" t="str">
        <f>IFERROR(__xludf.DUMMYFUNCTION("GOOGLETRANSLATE(B88, ""en"", ""tr"")"),"İşleri vurmak için büyük bir sopa. Hiç yoktan iyidir...")</f>
        <v>İşleri vurmak için büyük bir sopa. Hiç yoktan iyidir...</v>
      </c>
      <c r="G88" s="23" t="str">
        <f>IFERROR(__xludf.DUMMYFUNCTION("GOOGLETRANSLATE(B88, ""en"", ""pt"")"),"Um grande graveto para acertar as coisas. Melhor que nada...")</f>
        <v>Um grande graveto para acertar as coisas. Melhor que nada...</v>
      </c>
      <c r="H88" s="24" t="str">
        <f>IFERROR(__xludf.DUMMYFUNCTION("GOOGLETRANSLATE(B88, ""en"", ""de"")"),"Ein großer Stock, um Dinge zu treffen. Besser als nichts...")</f>
        <v>Ein großer Stock, um Dinge zu treffen. Besser als nichts...</v>
      </c>
      <c r="I88" s="23" t="str">
        <f>IFERROR(__xludf.DUMMYFUNCTION("GOOGLETRANSLATE(B88, ""en"", ""pl"")"),"Wielki kij do uderzenia. Lepsze niż nic...")</f>
        <v>Wielki kij do uderzenia. Lepsze niż nic...</v>
      </c>
      <c r="J88" s="25" t="str">
        <f>IFERROR(__xludf.DUMMYFUNCTION("GOOGLETRANSLATE(B88, ""en"", ""zh"")"),"一块大棍子击中事物。有总比没有好...")</f>
        <v>一块大棍子击中事物。有总比没有好...</v>
      </c>
      <c r="K88" s="25" t="str">
        <f>IFERROR(__xludf.DUMMYFUNCTION("GOOGLETRANSLATE(B88, ""en"", ""vi"")"),"Một cây gậy lớn để đánh mọi thứ với. Có còn hơn không...")</f>
        <v>Một cây gậy lớn để đánh mọi thứ với. Có còn hơn không...</v>
      </c>
      <c r="L88" s="42" t="str">
        <f>IFERROR(__xludf.DUMMYFUNCTION("GOOGLETRANSLATE(B88, ""en"", ""hr"")"),"Veliki štap s kojim ćete pogoditi stvari. Bolje išta nego ništa...")</f>
        <v>Veliki štap s kojim ćete pogoditi stvari. Bolje išta nego ništa...</v>
      </c>
      <c r="M88" s="26"/>
      <c r="N88" s="26"/>
      <c r="O88" s="26"/>
      <c r="P88" s="26"/>
      <c r="Q88" s="26"/>
      <c r="R88" s="26"/>
      <c r="S88" s="26"/>
      <c r="T88" s="26"/>
      <c r="U88" s="26"/>
      <c r="V88" s="26"/>
      <c r="W88" s="26"/>
      <c r="X88" s="26"/>
      <c r="Y88" s="26"/>
      <c r="Z88" s="26"/>
      <c r="AA88" s="26"/>
      <c r="AB88" s="26"/>
    </row>
    <row r="89">
      <c r="A89" s="21" t="s">
        <v>628</v>
      </c>
      <c r="B89" s="22" t="s">
        <v>629</v>
      </c>
      <c r="C89" s="23" t="str">
        <f>IFERROR(__xludf.DUMMYFUNCTION("GOOGLETRANSLATE(B89, ""en"", ""fr"")"),"Hachette d'os")</f>
        <v>Hachette d'os</v>
      </c>
      <c r="D89" s="23" t="str">
        <f>IFERROR(__xludf.DUMMYFUNCTION("GOOGLETRANSLATE(B89, ""en"", ""es"")"),"Hattet de hueso")</f>
        <v>Hattet de hueso</v>
      </c>
      <c r="E89" s="23" t="str">
        <f>IFERROR(__xludf.DUMMYFUNCTION("GOOGLETRANSLATE(B89, ""en"", ""ru"")"),"Костный топор")</f>
        <v>Костный топор</v>
      </c>
      <c r="F89" s="23" t="str">
        <f>IFERROR(__xludf.DUMMYFUNCTION("GOOGLETRANSLATE(B89, ""en"", ""tr"")"),"Kemikli balta")</f>
        <v>Kemikli balta</v>
      </c>
      <c r="G89" s="23" t="str">
        <f>IFERROR(__xludf.DUMMYFUNCTION("GOOGLETRANSLATE(B89, ""en"", ""pt"")"),"Hatchet de ossos")</f>
        <v>Hatchet de ossos</v>
      </c>
      <c r="H89" s="24" t="str">
        <f>IFERROR(__xludf.DUMMYFUNCTION("GOOGLETRANSLATE(B89, ""en"", ""de"")"),"Knochenbeil")</f>
        <v>Knochenbeil</v>
      </c>
      <c r="I89" s="23" t="str">
        <f>IFERROR(__xludf.DUMMYFUNCTION("GOOGLETRANSLATE(B89, ""en"", ""pl"")"),"Hatchet kości")</f>
        <v>Hatchet kości</v>
      </c>
      <c r="J89" s="25" t="str">
        <f>IFERROR(__xludf.DUMMYFUNCTION("GOOGLETRANSLATE(B89, ""en"", ""zh"")"),"骨斧")</f>
        <v>骨斧</v>
      </c>
      <c r="K89" s="25" t="str">
        <f>IFERROR(__xludf.DUMMYFUNCTION("GOOGLETRANSLATE(B89, ""en"", ""vi"")"),"Xương rìu")</f>
        <v>Xương rìu</v>
      </c>
      <c r="L89" s="42" t="str">
        <f>IFERROR(__xludf.DUMMYFUNCTION("GOOGLETRANSLATE(B89, ""en"", ""hr"")"),"Kosti")</f>
        <v>Kosti</v>
      </c>
      <c r="M89" s="26"/>
      <c r="N89" s="26"/>
      <c r="O89" s="26"/>
      <c r="P89" s="26"/>
      <c r="Q89" s="26"/>
      <c r="R89" s="26"/>
      <c r="S89" s="26"/>
      <c r="T89" s="26"/>
      <c r="U89" s="26"/>
      <c r="V89" s="26"/>
      <c r="W89" s="26"/>
      <c r="X89" s="26"/>
      <c r="Y89" s="26"/>
      <c r="Z89" s="26"/>
      <c r="AA89" s="26"/>
      <c r="AB89" s="26"/>
    </row>
    <row r="90">
      <c r="A90" s="21" t="s">
        <v>630</v>
      </c>
      <c r="B90" s="22" t="s">
        <v>631</v>
      </c>
      <c r="C90" s="23" t="str">
        <f>IFERROR(__xludf.DUMMYFUNCTION("GOOGLETRANSLATE(B90, ""en"", ""fr"")"),"Utilisé pour couper les arbres pour le bois.")</f>
        <v>Utilisé pour couper les arbres pour le bois.</v>
      </c>
      <c r="D90" s="23" t="str">
        <f>IFERROR(__xludf.DUMMYFUNCTION("GOOGLETRANSLATE(B90, ""en"", ""es"")"),"Solía ​​cortar árboles para madera.")</f>
        <v>Solía ​​cortar árboles para madera.</v>
      </c>
      <c r="E90" s="23" t="str">
        <f>IFERROR(__xludf.DUMMYFUNCTION("GOOGLETRANSLATE(B90, ""en"", ""ru"")"),"Используется для рубки деревьев для дерева.")</f>
        <v>Используется для рубки деревьев для дерева.</v>
      </c>
      <c r="F90" s="23" t="str">
        <f>IFERROR(__xludf.DUMMYFUNCTION("GOOGLETRANSLATE(B90, ""en"", ""tr"")"),"Ahşap için ağaçları kesmek için kullanılır.")</f>
        <v>Ahşap için ağaçları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abzuhacken.")</f>
        <v>Verwendet, um Bäume für Holz abzuhacken.</v>
      </c>
      <c r="I90" s="23" t="str">
        <f>IFERROR(__xludf.DUMMYFUNCTION("GOOGLETRANSLATE(B90, ""en"", ""pl"")"),"Służy do ścinania drzew na drewno.")</f>
        <v>Służy do ścinania drzew na drewno.</v>
      </c>
      <c r="J90" s="25" t="str">
        <f>IFERROR(__xludf.DUMMYFUNCTION("GOOGLETRANSLATE(B90, ""en"", ""zh"")"),"用于砍伐树木的树木。")</f>
        <v>用于砍伐树木的树木。</v>
      </c>
      <c r="K90" s="25" t="str">
        <f>IFERROR(__xludf.DUMMYFUNCTION("GOOGLETRANSLATE(B90, ""en"", ""vi"")"),"Được sử dụng để chặt cây cho gỗ.")</f>
        <v>Được sử dụng để chặt cây cho gỗ.</v>
      </c>
      <c r="L90" s="42" t="str">
        <f>IFERROR(__xludf.DUMMYFUNCTION("GOOGLETRANSLATE(B90, ""en"", ""hr"")"),"Koristi se za sjeckanje drveća za drvo.")</f>
        <v>Koristi se za sjeckanje drveća za drvo.</v>
      </c>
      <c r="M90" s="26"/>
      <c r="N90" s="26"/>
      <c r="O90" s="26"/>
      <c r="P90" s="26"/>
      <c r="Q90" s="26"/>
      <c r="R90" s="26"/>
      <c r="S90" s="26"/>
      <c r="T90" s="26"/>
      <c r="U90" s="26"/>
      <c r="V90" s="26"/>
      <c r="W90" s="26"/>
      <c r="X90" s="26"/>
      <c r="Y90" s="26"/>
      <c r="Z90" s="26"/>
      <c r="AA90" s="26"/>
      <c r="AB90" s="26"/>
    </row>
    <row r="91">
      <c r="A91" s="21" t="s">
        <v>632</v>
      </c>
      <c r="B91" s="22" t="s">
        <v>633</v>
      </c>
      <c r="C91" s="23" t="str">
        <f>IFERROR(__xludf.DUMMYFUNCTION("GOOGLETRANSLATE(B91, ""en"", ""fr"")"),"Pioche d'os")</f>
        <v>Pioche d'os</v>
      </c>
      <c r="D91" s="23" t="str">
        <f>IFERROR(__xludf.DUMMYFUNCTION("GOOGLETRANSLATE(B91, ""en"", ""es"")"),"Pico de huesos")</f>
        <v>Pico de huesos</v>
      </c>
      <c r="E91" s="23" t="str">
        <f>IFERROR(__xludf.DUMMYFUNCTION("GOOGLETRANSLATE(B91, ""en"", ""ru"")"),"Кость выбора")</f>
        <v>Кость выбора</v>
      </c>
      <c r="F91" s="23" t="str">
        <f>IFERROR(__xludf.DUMMYFUNCTION("GOOGLETRANSLATE(B91, ""en"", ""tr"")"),"Kemik kazma")</f>
        <v>Kemik kazma</v>
      </c>
      <c r="G91" s="23" t="str">
        <f>IFERROR(__xludf.DUMMYFUNCTION("GOOGLETRANSLATE(B91, ""en"", ""pt"")"),"Picareta de osso")</f>
        <v>Picareta de osso</v>
      </c>
      <c r="H91" s="24" t="str">
        <f>IFERROR(__xludf.DUMMYFUNCTION("GOOGLETRANSLATE(B91, ""en"", ""de"")"),"Knochenpickel")</f>
        <v>Knochenpickel</v>
      </c>
      <c r="I91" s="23" t="str">
        <f>IFERROR(__xludf.DUMMYFUNCTION("GOOGLETRANSLATE(B91, ""en"", ""pl"")"),"Pickaxe kości")</f>
        <v>Pickaxe kości</v>
      </c>
      <c r="J91" s="25" t="str">
        <f>IFERROR(__xludf.DUMMYFUNCTION("GOOGLETRANSLATE(B91, ""en"", ""zh"")"),"骨拾音器")</f>
        <v>骨拾音器</v>
      </c>
      <c r="K91" s="25" t="str">
        <f>IFERROR(__xludf.DUMMYFUNCTION("GOOGLETRANSLATE(B91, ""en"", ""vi"")"),"Bone Pickaxe")</f>
        <v>Bone Pickaxe</v>
      </c>
      <c r="L91" s="42" t="str">
        <f>IFERROR(__xludf.DUMMYFUNCTION("GOOGLETRANSLATE(B91, ""en"", ""hr"")"),"Kosti kost")</f>
        <v>Kosti kost</v>
      </c>
      <c r="M91" s="26"/>
      <c r="N91" s="26"/>
      <c r="O91" s="26"/>
      <c r="P91" s="26"/>
      <c r="Q91" s="26"/>
      <c r="R91" s="26"/>
      <c r="S91" s="26"/>
      <c r="T91" s="26"/>
      <c r="U91" s="26"/>
      <c r="V91" s="26"/>
      <c r="W91" s="26"/>
      <c r="X91" s="26"/>
      <c r="Y91" s="26"/>
      <c r="Z91" s="26"/>
      <c r="AA91" s="26"/>
      <c r="AB91" s="26"/>
    </row>
    <row r="92">
      <c r="A92" s="21" t="s">
        <v>634</v>
      </c>
      <c r="B92" s="22" t="s">
        <v>635</v>
      </c>
      <c r="C92" s="23" t="str">
        <f>IFERROR(__xludf.DUMMYFUNCTION("GOOGLETRANSLATE(B92, ""en"", ""fr"")"),"Utilisé pour exploiter des rochers pour le minerai.")</f>
        <v>Utilisé pour exploiter des rochers pour le minerai.</v>
      </c>
      <c r="D92" s="23" t="str">
        <f>IFERROR(__xludf.DUMMYFUNCTION("GOOGLETRANSLATE(B92, ""en"", ""es"")"),"Solía ​​extraer rocas para mineral.")</f>
        <v>Solía ​​extraer rocas para mineral.</v>
      </c>
      <c r="E92" s="23" t="str">
        <f>IFERROR(__xludf.DUMMYFUNCTION("GOOGLETRANSLATE(B92, ""en"", ""ru"")"),"Используется для добычи камней для руды.")</f>
        <v>Используется для добычи камней для руды.</v>
      </c>
      <c r="F92" s="23" t="str">
        <f>IFERROR(__xludf.DUMMYFUNCTION("GOOGLETRANSLATE(B92, ""en"", ""tr"")"),"Cevher için kayaları kullanırdı.")</f>
        <v>Cevher için kayaları kullanırdı.</v>
      </c>
      <c r="G92" s="23" t="str">
        <f>IFERROR(__xludf.DUMMYFUNCTION("GOOGLETRANSLATE(B92, ""en"", ""pt"")"),"Usado para minerar pedras para minério.")</f>
        <v>Usado para minerar pedras para minério.</v>
      </c>
      <c r="H92" s="24" t="str">
        <f>IFERROR(__xludf.DUMMYFUNCTION("GOOGLETRANSLATE(B92, ""en"", ""de"")"),"Wird verwendet, um Steine ​​für Erz zu abbauen.")</f>
        <v>Wird verwendet, um Steine ​​für Erz zu abbauen.</v>
      </c>
      <c r="I92" s="23" t="str">
        <f>IFERROR(__xludf.DUMMYFUNCTION("GOOGLETRANSLATE(B92, ""en"", ""pl"")"),"Używany do wydobywania skał do rudy.")</f>
        <v>Używany do wydobywania skał do rudy.</v>
      </c>
      <c r="J92" s="25" t="str">
        <f>IFERROR(__xludf.DUMMYFUNCTION("GOOGLETRANSLATE(B92, ""en"", ""zh"")"),"用于开采矿石的岩石。")</f>
        <v>用于开采矿石的岩石。</v>
      </c>
      <c r="K92" s="25" t="str">
        <f>IFERROR(__xludf.DUMMYFUNCTION("GOOGLETRANSLATE(B92, ""en"", ""vi"")"),"Được sử dụng để khai thác đá cho quặng.")</f>
        <v>Được sử dụng để khai thác đá cho quặng.</v>
      </c>
      <c r="L92" s="42" t="str">
        <f>IFERROR(__xludf.DUMMYFUNCTION("GOOGLETRANSLATE(B92, ""en"", ""hr"")"),"Koristio se za minu stijene za rudu.")</f>
        <v>Koristio se za minu stijene za rudu.</v>
      </c>
      <c r="M92" s="26"/>
      <c r="N92" s="26"/>
      <c r="O92" s="26"/>
      <c r="P92" s="26"/>
      <c r="Q92" s="26"/>
      <c r="R92" s="26"/>
      <c r="S92" s="26"/>
      <c r="T92" s="26"/>
      <c r="U92" s="26"/>
      <c r="V92" s="26"/>
      <c r="W92" s="26"/>
      <c r="X92" s="26"/>
      <c r="Y92" s="26"/>
      <c r="Z92" s="26"/>
      <c r="AA92" s="26"/>
      <c r="AB92" s="26"/>
    </row>
    <row r="93">
      <c r="A93" s="21" t="s">
        <v>636</v>
      </c>
      <c r="B93" s="22" t="s">
        <v>637</v>
      </c>
      <c r="C93" s="23" t="str">
        <f>IFERROR(__xludf.DUMMYFUNCTION("GOOGLETRANSLATE(B93, ""en"", ""fr"")"),"Hache de guerre en fer")</f>
        <v>Hache de guerre en fer</v>
      </c>
      <c r="D93" s="23" t="str">
        <f>IFERROR(__xludf.DUMMYFUNCTION("GOOGLETRANSLATE(B93, ""en"", ""es"")"),"Hacha de hierro")</f>
        <v>Hacha de hierro</v>
      </c>
      <c r="E93" s="23" t="str">
        <f>IFERROR(__xludf.DUMMYFUNCTION("GOOGLETRANSLATE(B93, ""en"", ""ru"")"),"Железный топор")</f>
        <v>Железный топор</v>
      </c>
      <c r="F93" s="23" t="str">
        <f>IFERROR(__xludf.DUMMYFUNCTION("GOOGLETRANSLATE(B93, ""en"", ""tr"")"),"Demir balta")</f>
        <v>Demir balta</v>
      </c>
      <c r="G93" s="23" t="str">
        <f>IFERROR(__xludf.DUMMYFUNCTION("GOOGLETRANSLATE(B93, ""en"", ""pt"")"),"Hatchet de ferro")</f>
        <v>Hatchet de ferro</v>
      </c>
      <c r="H93" s="24" t="str">
        <f>IFERROR(__xludf.DUMMYFUNCTION("GOOGLETRANSLATE(B93, ""en"", ""de"")"),"Eisen Hatchet")</f>
        <v>Eisen Hatchet</v>
      </c>
      <c r="I93" s="23" t="str">
        <f>IFERROR(__xludf.DUMMYFUNCTION("GOOGLETRANSLATE(B93, ""en"", ""pl"")"),"Żelazny hatchet")</f>
        <v>Żelazny hatchet</v>
      </c>
      <c r="J93" s="25" t="str">
        <f>IFERROR(__xludf.DUMMYFUNCTION("GOOGLETRANSLATE(B93, ""en"", ""zh"")"),"铁斧")</f>
        <v>铁斧</v>
      </c>
      <c r="K93" s="25" t="str">
        <f>IFERROR(__xludf.DUMMYFUNCTION("GOOGLETRANSLATE(B93, ""en"", ""vi"")"),"Rìu sắt")</f>
        <v>Rìu sắt</v>
      </c>
      <c r="L93" s="42" t="str">
        <f>IFERROR(__xludf.DUMMYFUNCTION("GOOGLETRANSLATE(B93, ""en"", ""hr"")"),"Željezna sjekira")</f>
        <v>Željezna sjekira</v>
      </c>
      <c r="M93" s="26"/>
      <c r="N93" s="26"/>
      <c r="O93" s="26"/>
      <c r="P93" s="26"/>
      <c r="Q93" s="26"/>
      <c r="R93" s="26"/>
      <c r="S93" s="26"/>
      <c r="T93" s="26"/>
      <c r="U93" s="26"/>
      <c r="V93" s="26"/>
      <c r="W93" s="26"/>
      <c r="X93" s="26"/>
      <c r="Y93" s="26"/>
      <c r="Z93" s="26"/>
      <c r="AA93" s="26"/>
      <c r="AB93" s="26"/>
    </row>
    <row r="94">
      <c r="A94" s="21" t="s">
        <v>638</v>
      </c>
      <c r="B94" s="22" t="s">
        <v>631</v>
      </c>
      <c r="C94" s="23" t="str">
        <f>IFERROR(__xludf.DUMMYFUNCTION("GOOGLETRANSLATE(B94, ""en"", ""fr"")"),"Utilisé pour couper les arbres pour le bois.")</f>
        <v>Utilisé pour couper les arbres pour le bois.</v>
      </c>
      <c r="D94" s="23" t="str">
        <f>IFERROR(__xludf.DUMMYFUNCTION("GOOGLETRANSLATE(B94, ""en"", ""es"")"),"Solía ​​cortar árboles para madera.")</f>
        <v>Solía ​​cortar árboles para madera.</v>
      </c>
      <c r="E94" s="23" t="str">
        <f>IFERROR(__xludf.DUMMYFUNCTION("GOOGLETRANSLATE(B94, ""en"", ""ru"")"),"Используется для рубки деревьев для дерева.")</f>
        <v>Используется для рубки деревьев для дерева.</v>
      </c>
      <c r="F94" s="23" t="str">
        <f>IFERROR(__xludf.DUMMYFUNCTION("GOOGLETRANSLATE(B94, ""en"", ""tr"")"),"Ahşap için ağaçları kesmek için kullanılır.")</f>
        <v>Ahşap için ağaçları kesmek için kullanılır.</v>
      </c>
      <c r="G94" s="23" t="str">
        <f>IFERROR(__xludf.DUMMYFUNCTION("GOOGLETRANSLATE(B94, ""en"", ""pt"")"),"Usado para cortar árvores para madeira.")</f>
        <v>Usado para cortar árvores para madeira.</v>
      </c>
      <c r="H94" s="24" t="str">
        <f>IFERROR(__xludf.DUMMYFUNCTION("GOOGLETRANSLATE(B94, ""en"", ""de"")"),"Verwendet, um Bäume für Holz abzuhacken.")</f>
        <v>Verwendet, um Bäume für Holz abzuhacken.</v>
      </c>
      <c r="I94" s="23" t="str">
        <f>IFERROR(__xludf.DUMMYFUNCTION("GOOGLETRANSLATE(B94, ""en"", ""pl"")"),"Służy do ścinania drzew na drewno.")</f>
        <v>Służy do ścinania drzew na drewno.</v>
      </c>
      <c r="J94" s="25" t="str">
        <f>IFERROR(__xludf.DUMMYFUNCTION("GOOGLETRANSLATE(B94, ""en"", ""zh"")"),"用于砍伐树木的树木。")</f>
        <v>用于砍伐树木的树木。</v>
      </c>
      <c r="K94" s="25" t="str">
        <f>IFERROR(__xludf.DUMMYFUNCTION("GOOGLETRANSLATE(B94, ""en"", ""vi"")"),"Được sử dụng để chặt cây cho gỗ.")</f>
        <v>Được sử dụng để chặt cây cho gỗ.</v>
      </c>
      <c r="L94" s="42" t="str">
        <f>IFERROR(__xludf.DUMMYFUNCTION("GOOGLETRANSLATE(B94, ""en"", ""hr"")"),"Koristi se za sjeckanje drveća za drvo.")</f>
        <v>Koristi se za sjeckanje drveća za drvo.</v>
      </c>
      <c r="M94" s="26"/>
      <c r="N94" s="26"/>
      <c r="O94" s="26"/>
      <c r="P94" s="26"/>
      <c r="Q94" s="26"/>
      <c r="R94" s="26"/>
      <c r="S94" s="26"/>
      <c r="T94" s="26"/>
      <c r="U94" s="26"/>
      <c r="V94" s="26"/>
      <c r="W94" s="26"/>
      <c r="X94" s="26"/>
      <c r="Y94" s="26"/>
      <c r="Z94" s="26"/>
      <c r="AA94" s="26"/>
      <c r="AB94" s="26"/>
    </row>
    <row r="95">
      <c r="A95" s="21" t="s">
        <v>639</v>
      </c>
      <c r="B95" s="22" t="s">
        <v>640</v>
      </c>
      <c r="C95" s="23" t="str">
        <f>IFERROR(__xludf.DUMMYFUNCTION("GOOGLETRANSLATE(B95, ""en"", ""fr"")"),"Pickaxe en fer")</f>
        <v>Pickaxe en fer</v>
      </c>
      <c r="D95" s="23" t="str">
        <f>IFERROR(__xludf.DUMMYFUNCTION("GOOGLETRANSLATE(B95, ""en"", ""es"")"),"Pico de hierro")</f>
        <v>Pico de hierro</v>
      </c>
      <c r="E95" s="23" t="str">
        <f>IFERROR(__xludf.DUMMYFUNCTION("GOOGLETRANSLATE(B95, ""en"", ""ru"")"),"Железный пик")</f>
        <v>Железный пик</v>
      </c>
      <c r="F95" s="23" t="str">
        <f>IFERROR(__xludf.DUMMYFUNCTION("GOOGLETRANSLATE(B95, ""en"", ""tr"")"),"Demir kazma")</f>
        <v>Demir kazma</v>
      </c>
      <c r="G95" s="23" t="str">
        <f>IFERROR(__xludf.DUMMYFUNCTION("GOOGLETRANSLATE(B95, ""en"", ""pt"")"),"Picareta de ferro")</f>
        <v>Picareta de ferro</v>
      </c>
      <c r="H95" s="24" t="str">
        <f>IFERROR(__xludf.DUMMYFUNCTION("GOOGLETRANSLATE(B95, ""en"", ""de"")"),"Eisenpickel")</f>
        <v>Eisenpickel</v>
      </c>
      <c r="I95" s="23" t="str">
        <f>IFERROR(__xludf.DUMMYFUNCTION("GOOGLETRANSLATE(B95, ""en"", ""pl"")"),"Żelazny Pickaxe")</f>
        <v>Żelazny Pickaxe</v>
      </c>
      <c r="J95" s="25" t="str">
        <f>IFERROR(__xludf.DUMMYFUNCTION("GOOGLETRANSLATE(B95, ""en"", ""zh"")"),"铁镐")</f>
        <v>铁镐</v>
      </c>
      <c r="K95" s="25" t="str">
        <f>IFERROR(__xludf.DUMMYFUNCTION("GOOGLETRANSLATE(B95, ""en"", ""vi"")"),"Pickaxe sắt")</f>
        <v>Pickaxe sắt</v>
      </c>
      <c r="L95" s="42" t="str">
        <f>IFERROR(__xludf.DUMMYFUNCTION("GOOGLETRANSLATE(B95, ""en"", ""hr"")"),"Željezni pikak")</f>
        <v>Željezni pikak</v>
      </c>
      <c r="M95" s="26"/>
      <c r="N95" s="26"/>
      <c r="O95" s="26"/>
      <c r="P95" s="26"/>
      <c r="Q95" s="26"/>
      <c r="R95" s="26"/>
      <c r="S95" s="26"/>
      <c r="T95" s="26"/>
      <c r="U95" s="26"/>
      <c r="V95" s="26"/>
      <c r="W95" s="26"/>
      <c r="X95" s="26"/>
      <c r="Y95" s="26"/>
      <c r="Z95" s="26"/>
      <c r="AA95" s="26"/>
      <c r="AB95" s="26"/>
    </row>
    <row r="96">
      <c r="A96" s="21" t="s">
        <v>641</v>
      </c>
      <c r="B96" s="22" t="s">
        <v>635</v>
      </c>
      <c r="C96" s="23" t="str">
        <f>IFERROR(__xludf.DUMMYFUNCTION("GOOGLETRANSLATE(B96, ""en"", ""fr"")"),"Utilisé pour exploiter des rochers pour le minerai.")</f>
        <v>Utilisé pour exploiter des rochers pour le minerai.</v>
      </c>
      <c r="D96" s="23" t="str">
        <f>IFERROR(__xludf.DUMMYFUNCTION("GOOGLETRANSLATE(B96, ""en"", ""es"")"),"Solía ​​extraer rocas para mineral.")</f>
        <v>Solía ​​extraer rocas para mineral.</v>
      </c>
      <c r="E96" s="23" t="str">
        <f>IFERROR(__xludf.DUMMYFUNCTION("GOOGLETRANSLATE(B96, ""en"", ""ru"")"),"Используется для добычи камней для руды.")</f>
        <v>Используется для добычи камней для руды.</v>
      </c>
      <c r="F96" s="23" t="str">
        <f>IFERROR(__xludf.DUMMYFUNCTION("GOOGLETRANSLATE(B96, ""en"", ""tr"")"),"Cevher için kayaları kullanırdı.")</f>
        <v>Cevher için kayaları kullanırdı.</v>
      </c>
      <c r="G96" s="23" t="str">
        <f>IFERROR(__xludf.DUMMYFUNCTION("GOOGLETRANSLATE(B96, ""en"", ""pt"")"),"Usado para minerar pedras para minério.")</f>
        <v>Usado para minerar pedras para minério.</v>
      </c>
      <c r="H96" s="24" t="str">
        <f>IFERROR(__xludf.DUMMYFUNCTION("GOOGLETRANSLATE(B96, ""en"", ""de"")"),"Wird verwendet, um Steine ​​für Erz zu abbauen.")</f>
        <v>Wird verwendet, um Steine ​​für Erz zu abbauen.</v>
      </c>
      <c r="I96" s="23" t="str">
        <f>IFERROR(__xludf.DUMMYFUNCTION("GOOGLETRANSLATE(B96, ""en"", ""pl"")"),"Używany do wydobywania skał do rudy.")</f>
        <v>Używany do wydobywania skał do rudy.</v>
      </c>
      <c r="J96" s="25" t="str">
        <f>IFERROR(__xludf.DUMMYFUNCTION("GOOGLETRANSLATE(B96, ""en"", ""zh"")"),"用于开采矿石的岩石。")</f>
        <v>用于开采矿石的岩石。</v>
      </c>
      <c r="K96" s="25" t="str">
        <f>IFERROR(__xludf.DUMMYFUNCTION("GOOGLETRANSLATE(B96, ""en"", ""vi"")"),"Được sử dụng để khai thác đá cho quặng.")</f>
        <v>Được sử dụng để khai thác đá cho quặng.</v>
      </c>
      <c r="L96" s="42" t="str">
        <f>IFERROR(__xludf.DUMMYFUNCTION("GOOGLETRANSLATE(B96, ""en"", ""hr"")"),"Koristio se za minu stijene za rudu.")</f>
        <v>Koristio se za minu stijene za rudu.</v>
      </c>
      <c r="M96" s="26"/>
      <c r="N96" s="26"/>
      <c r="O96" s="26"/>
      <c r="P96" s="26"/>
      <c r="Q96" s="26"/>
      <c r="R96" s="26"/>
      <c r="S96" s="26"/>
      <c r="T96" s="26"/>
      <c r="U96" s="26"/>
      <c r="V96" s="26"/>
      <c r="W96" s="26"/>
      <c r="X96" s="26"/>
      <c r="Y96" s="26"/>
      <c r="Z96" s="26"/>
      <c r="AA96" s="26"/>
      <c r="AB96" s="26"/>
    </row>
    <row r="97">
      <c r="A97" s="21" t="s">
        <v>642</v>
      </c>
      <c r="B97" s="22" t="s">
        <v>643</v>
      </c>
      <c r="C97" s="23" t="str">
        <f>IFERROR(__xludf.DUMMYFUNCTION("GOOGLETRANSLATE(B97, ""en"", ""fr"")"),"Faucille")</f>
        <v>Faucille</v>
      </c>
      <c r="D97" s="23" t="str">
        <f>IFERROR(__xludf.DUMMYFUNCTION("GOOGLETRANSLATE(B97, ""en"", ""es"")"),"Hoz de hierro")</f>
        <v>Hoz de hierro</v>
      </c>
      <c r="E97" s="23" t="str">
        <f>IFERROR(__xludf.DUMMYFUNCTION("GOOGLETRANSLATE(B97, ""en"", ""ru"")"),"Железный серп")</f>
        <v>Железный серп</v>
      </c>
      <c r="F97" s="23" t="str">
        <f>IFERROR(__xludf.DUMMYFUNCTION("GOOGLETRANSLATE(B97, ""en"", ""tr"")"),"Demir orak")</f>
        <v>Demir orak</v>
      </c>
      <c r="G97" s="23" t="str">
        <f>IFERROR(__xludf.DUMMYFUNCTION("GOOGLETRANSLATE(B97, ""en"", ""pt"")"),"Ficha de ferro")</f>
        <v>Ficha de ferro</v>
      </c>
      <c r="H97" s="24" t="str">
        <f>IFERROR(__xludf.DUMMYFUNCTION("GOOGLETRANSLATE(B97, ""en"", ""de"")"),"Eisen Sichel")</f>
        <v>Eisen Sichel</v>
      </c>
      <c r="I97" s="23" t="str">
        <f>IFERROR(__xludf.DUMMYFUNCTION("GOOGLETRANSLATE(B97, ""en"", ""pl"")"),"Żelazny sierp")</f>
        <v>Żelazny sierp</v>
      </c>
      <c r="J97" s="25" t="str">
        <f>IFERROR(__xludf.DUMMYFUNCTION("GOOGLETRANSLATE(B97, ""en"", ""zh"")"),"铁镰刀")</f>
        <v>铁镰刀</v>
      </c>
      <c r="K97" s="25" t="str">
        <f>IFERROR(__xludf.DUMMYFUNCTION("GOOGLETRANSLATE(B97, ""en"", ""vi"")"),"Iron Sickle")</f>
        <v>Iron Sickle</v>
      </c>
      <c r="L97" s="42" t="str">
        <f>IFERROR(__xludf.DUMMYFUNCTION("GOOGLETRANSLATE(B97, ""en"", ""hr"")"),"Glačalo")</f>
        <v>Glačalo</v>
      </c>
      <c r="M97" s="26"/>
      <c r="N97" s="26"/>
      <c r="O97" s="26"/>
      <c r="P97" s="26"/>
      <c r="Q97" s="26"/>
      <c r="R97" s="26"/>
      <c r="S97" s="26"/>
      <c r="T97" s="26"/>
      <c r="U97" s="26"/>
      <c r="V97" s="26"/>
      <c r="W97" s="26"/>
      <c r="X97" s="26"/>
      <c r="Y97" s="26"/>
      <c r="Z97" s="26"/>
      <c r="AA97" s="26"/>
      <c r="AB97" s="26"/>
    </row>
    <row r="98">
      <c r="A98" s="21" t="s">
        <v>644</v>
      </c>
      <c r="B98" s="22" t="s">
        <v>645</v>
      </c>
      <c r="C98" s="23" t="str">
        <f>IFERROR(__xludf.DUMMYFUNCTION("GOOGLETRANSLATE(B98, ""en"", ""fr"")"),"Utilisé pour rassembler des plantes.")</f>
        <v>Utilisé pour rassembler des plantes.</v>
      </c>
      <c r="D98" s="23" t="str">
        <f>IFERROR(__xludf.DUMMYFUNCTION("GOOGLETRANSLATE(B98, ""en"", ""es"")"),"Se usa para recolectar plantas.")</f>
        <v>Se usa para recolectar plantas.</v>
      </c>
      <c r="E98" s="23" t="str">
        <f>IFERROR(__xludf.DUMMYFUNCTION("GOOGLETRANSLATE(B98, ""en"", ""ru"")"),"Используется для сбора растений.")</f>
        <v>Используется для сбора растений.</v>
      </c>
      <c r="F98" s="23" t="str">
        <f>IFERROR(__xludf.DUMMYFUNCTION("GOOGLETRANSLATE(B98, ""en"", ""tr"")"),"Bitkiler toplamak için kullanılır.")</f>
        <v>Bitkiler toplamak için kullanılır.</v>
      </c>
      <c r="G98" s="23" t="str">
        <f>IFERROR(__xludf.DUMMYFUNCTION("GOOGLETRANSLATE(B98, ""en"", ""pt"")"),"Usado para reunir plantas.")</f>
        <v>Usado para reunir plantas.</v>
      </c>
      <c r="H98" s="24" t="str">
        <f>IFERROR(__xludf.DUMMYFUNCTION("GOOGLETRANSLATE(B98, ""en"", ""de"")"),"Verwendet, um Pflanzen zu sammeln.")</f>
        <v>Verwendet, um Pflanzen zu sammeln.</v>
      </c>
      <c r="I98" s="23" t="str">
        <f>IFERROR(__xludf.DUMMYFUNCTION("GOOGLETRANSLATE(B98, ""en"", ""pl"")"),"Używane do zbierania roślin.")</f>
        <v>Używane do zbierania roślin.</v>
      </c>
      <c r="J98" s="25" t="str">
        <f>IFERROR(__xludf.DUMMYFUNCTION("GOOGLETRANSLATE(B98, ""en"", ""zh"")"),"用于收集植物。")</f>
        <v>用于收集植物。</v>
      </c>
      <c r="K98" s="25" t="str">
        <f>IFERROR(__xludf.DUMMYFUNCTION("GOOGLETRANSLATE(B98, ""en"", ""vi"")"),"Được sử dụng để thu thập thực vật.")</f>
        <v>Được sử dụng để thu thập thực vật.</v>
      </c>
      <c r="L98" s="42" t="str">
        <f>IFERROR(__xludf.DUMMYFUNCTION("GOOGLETRANSLATE(B98, ""en"", ""hr"")"),"Koristi se za okupljanje biljaka.")</f>
        <v>Koristi se za okupljanje biljaka.</v>
      </c>
      <c r="M98" s="26"/>
      <c r="N98" s="26"/>
      <c r="O98" s="26"/>
      <c r="P98" s="26"/>
      <c r="Q98" s="26"/>
      <c r="R98" s="26"/>
      <c r="S98" s="26"/>
      <c r="T98" s="26"/>
      <c r="U98" s="26"/>
      <c r="V98" s="26"/>
      <c r="W98" s="26"/>
      <c r="X98" s="26"/>
      <c r="Y98" s="26"/>
      <c r="Z98" s="26"/>
      <c r="AA98" s="26"/>
      <c r="AB98" s="26"/>
    </row>
    <row r="99">
      <c r="A99" s="21" t="s">
        <v>646</v>
      </c>
      <c r="B99" s="22" t="s">
        <v>647</v>
      </c>
      <c r="C99" s="23" t="str">
        <f>IFERROR(__xludf.DUMMYFUNCTION("GOOGLETRANSLATE(B99, ""en"", ""fr"")"),"Flèches de fer")</f>
        <v>Flèches de fer</v>
      </c>
      <c r="D99" s="23" t="str">
        <f>IFERROR(__xludf.DUMMYFUNCTION("GOOGLETRANSLATE(B99, ""en"", ""es"")"),"Flechas de hierro")</f>
        <v>Flechas de hierro</v>
      </c>
      <c r="E99" s="23" t="str">
        <f>IFERROR(__xludf.DUMMYFUNCTION("GOOGLETRANSLATE(B99, ""en"", ""ru"")"),"Железные стрелы")</f>
        <v>Железные стрелы</v>
      </c>
      <c r="F99" s="23" t="str">
        <f>IFERROR(__xludf.DUMMYFUNCTION("GOOGLETRANSLATE(B99, ""en"", ""tr"")"),"Demir okları")</f>
        <v>Demir okları</v>
      </c>
      <c r="G99" s="23" t="str">
        <f>IFERROR(__xludf.DUMMYFUNCTION("GOOGLETRANSLATE(B99, ""en"", ""pt"")"),"Arrows de ferro")</f>
        <v>Arrows de ferro</v>
      </c>
      <c r="H99" s="24" t="str">
        <f>IFERROR(__xludf.DUMMYFUNCTION("GOOGLETRANSLATE(B99, ""en"", ""de"")"),"Eisenpfeile")</f>
        <v>Eisenpfeile</v>
      </c>
      <c r="I99" s="23" t="str">
        <f>IFERROR(__xludf.DUMMYFUNCTION("GOOGLETRANSLATE(B99, ""en"", ""pl"")"),"Żelazne strzałki")</f>
        <v>Żelazne strzałki</v>
      </c>
      <c r="J99" s="25" t="str">
        <f>IFERROR(__xludf.DUMMYFUNCTION("GOOGLETRANSLATE(B99, ""en"", ""zh"")"),"铁箭")</f>
        <v>铁箭</v>
      </c>
      <c r="K99" s="25" t="str">
        <f>IFERROR(__xludf.DUMMYFUNCTION("GOOGLETRANSLATE(B99, ""en"", ""vi"")"),"Mũi tên sắt")</f>
        <v>Mũi tên sắt</v>
      </c>
      <c r="L99" s="42" t="str">
        <f>IFERROR(__xludf.DUMMYFUNCTION("GOOGLETRANSLATE(B99, ""en"", ""hr"")"),"Željezne strelice")</f>
        <v>Željezne strelice</v>
      </c>
      <c r="M99" s="26"/>
      <c r="N99" s="26"/>
      <c r="O99" s="26"/>
      <c r="P99" s="26"/>
      <c r="Q99" s="26"/>
      <c r="R99" s="26"/>
      <c r="S99" s="26"/>
      <c r="T99" s="26"/>
      <c r="U99" s="26"/>
      <c r="V99" s="26"/>
      <c r="W99" s="26"/>
      <c r="X99" s="26"/>
      <c r="Y99" s="26"/>
      <c r="Z99" s="26"/>
      <c r="AA99" s="26"/>
      <c r="AB99" s="26"/>
    </row>
    <row r="100">
      <c r="A100" s="21" t="s">
        <v>648</v>
      </c>
      <c r="B100" s="22" t="s">
        <v>649</v>
      </c>
      <c r="C100" s="23" t="str">
        <f>IFERROR(__xludf.DUMMYFUNCTION("GOOGLETRANSLATE(B100, ""en"", ""fr"")"),"Utilisé comme munitions pour un arc.")</f>
        <v>Utilisé comme munitions pour un arc.</v>
      </c>
      <c r="D100" s="23" t="str">
        <f>IFERROR(__xludf.DUMMYFUNCTION("GOOGLETRANSLATE(B100, ""en"", ""es"")"),"Utilizado como municiones para un arco.")</f>
        <v>Utilizado como municiones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""de"")"),"Als Munition für einen Bogen verwendet.")</f>
        <v>Als Munition für einen Bogen verwendet.</v>
      </c>
      <c r="I100" s="23" t="str">
        <f>IFERROR(__xludf.DUMMYFUNCTION("GOOGLETRANSLATE(B100, ""en"", ""pl"")"),"Używane jako amunicja do łuku.")</f>
        <v>Używane jako amunicja do łuku.</v>
      </c>
      <c r="J100" s="25" t="str">
        <f>IFERROR(__xludf.DUMMYFUNCTION("GOOGLETRANSLATE(B100, ""en"", ""zh"")"),"用作弓的弹药。")</f>
        <v>用作弓的弹药。</v>
      </c>
      <c r="K100" s="25" t="str">
        <f>IFERROR(__xludf.DUMMYFUNCTION("GOOGLETRANSLATE(B100, ""en"", ""vi"")"),"Được sử dụng làm đạn dược cho một cây cung.")</f>
        <v>Được sử dụng làm đạn dược cho một cây cung.</v>
      </c>
      <c r="L100" s="42" t="str">
        <f>IFERROR(__xludf.DUMMYFUNCTION("GOOGLETRANSLATE(B100, ""en"", ""hr"")"),"Koristi se kao municija za luk.")</f>
        <v>Koristi se kao municija za luk.</v>
      </c>
      <c r="M100" s="26"/>
      <c r="N100" s="26"/>
      <c r="O100" s="26"/>
      <c r="P100" s="26"/>
      <c r="Q100" s="26"/>
      <c r="R100" s="26"/>
      <c r="S100" s="26"/>
      <c r="T100" s="26"/>
      <c r="U100" s="26"/>
      <c r="V100" s="26"/>
      <c r="W100" s="26"/>
      <c r="X100" s="26"/>
      <c r="Y100" s="26"/>
      <c r="Z100" s="26"/>
      <c r="AA100" s="26"/>
      <c r="AB100" s="26"/>
    </row>
    <row r="101">
      <c r="A101" s="21" t="s">
        <v>650</v>
      </c>
      <c r="B101" s="22" t="s">
        <v>651</v>
      </c>
      <c r="C101" s="23" t="str">
        <f>IFERROR(__xludf.DUMMYFUNCTION("GOOGLETRANSLATE(B101, ""en"", ""fr"")"),"Poignard de fer")</f>
        <v>Poignard de fer</v>
      </c>
      <c r="D101" s="23" t="str">
        <f>IFERROR(__xludf.DUMMYFUNCTION("GOOGLETRANSLATE(B101, ""en"", ""es"")"),"Daga de hierro")</f>
        <v>Daga de hierro</v>
      </c>
      <c r="E101" s="23" t="str">
        <f>IFERROR(__xludf.DUMMYFUNCTION("GOOGLETRANSLATE(B101, ""en"", ""ru"")"),"Железный кинжал")</f>
        <v>Железный кинжал</v>
      </c>
      <c r="F101" s="23" t="str">
        <f>IFERROR(__xludf.DUMMYFUNCTION("GOOGLETRANSLATE(B101, ""en"", ""tr"")"),"Demir hançer")</f>
        <v>Demir hançer</v>
      </c>
      <c r="G101" s="23" t="str">
        <f>IFERROR(__xludf.DUMMYFUNCTION("GOOGLETRANSLATE(B101, ""en"", ""pt"")"),"Adaga de ferro")</f>
        <v>Adaga de ferro</v>
      </c>
      <c r="H101" s="24" t="str">
        <f>IFERROR(__xludf.DUMMYFUNCTION("GOOGLETRANSLATE(B101, ""en"", ""de"")"),"Eisendolch")</f>
        <v>Eisendolch</v>
      </c>
      <c r="I101" s="23" t="str">
        <f>IFERROR(__xludf.DUMMYFUNCTION("GOOGLETRANSLATE(B101, ""en"", ""pl"")"),"Żelazny sztylet")</f>
        <v>Żelazny sztylet</v>
      </c>
      <c r="J101" s="25" t="str">
        <f>IFERROR(__xludf.DUMMYFUNCTION("GOOGLETRANSLATE(B101, ""en"", ""zh"")"),"铁匕首")</f>
        <v>铁匕首</v>
      </c>
      <c r="K101" s="25" t="str">
        <f>IFERROR(__xludf.DUMMYFUNCTION("GOOGLETRANSLATE(B101, ""en"", ""vi"")"),"Dao găm sắt")</f>
        <v>Dao găm sắt</v>
      </c>
      <c r="L101" s="42" t="str">
        <f>IFERROR(__xludf.DUMMYFUNCTION("GOOGLETRANSLATE(B101, ""en"", ""hr"")"),"Željezni bodež")</f>
        <v>Željezni bodež</v>
      </c>
      <c r="M101" s="26"/>
      <c r="N101" s="26"/>
      <c r="O101" s="26"/>
      <c r="P101" s="26"/>
      <c r="Q101" s="26"/>
      <c r="R101" s="26"/>
      <c r="S101" s="26"/>
      <c r="T101" s="26"/>
      <c r="U101" s="26"/>
      <c r="V101" s="26"/>
      <c r="W101" s="26"/>
      <c r="X101" s="26"/>
      <c r="Y101" s="26"/>
      <c r="Z101" s="26"/>
      <c r="AA101" s="26"/>
      <c r="AB101" s="26"/>
    </row>
    <row r="102">
      <c r="A102" s="21" t="s">
        <v>652</v>
      </c>
      <c r="B102" s="22" t="s">
        <v>653</v>
      </c>
      <c r="C102" s="23" t="str">
        <f>IFERROR(__xludf.DUMMYFUNCTION("GOOGLETRANSLATE(B102, ""en"", ""fr"")"),"Une arme de mêlée à courte portée. Infliger des dégâts bonus lorsqu'il frappe par derrière.")</f>
        <v>Une arme de mêlée à courte portée. Infliger des dégâts bonus lorsqu'il frappe par derrière.</v>
      </c>
      <c r="D102" s="23" t="str">
        <f>IFERROR(__xludf.DUMMYFUNCTION("GOOGLETRANSLATE(B102, ""en"", ""es"")"),"Un arma cuerpo a cuerpo de corto alcance. Influye daños adicionales cuando golpea por detrás.")</f>
        <v>Un arma cuerpo a cuerpo de corto alcance. Influye daños adicionales cuando golpea por detrás.</v>
      </c>
      <c r="E102" s="23" t="str">
        <f>IFERROR(__xludf.DUMMYFUNCTION("GOOGLETRANSLATE(B102, ""en"", ""ru"")"),"Короткое расстояние оружия ближнего боя. Наносит бонусный урон, когда он попадает сзади.")</f>
        <v>Короткое расстояние оружия ближнего боя. Наносит бонусный урон, когда он попадает сзади.</v>
      </c>
      <c r="F102" s="23" t="str">
        <f>IFERROR(__xludf.DUMMYFUNCTION("GOOGLETRANSLATE(B102, ""en"", ""tr"")"),"Kısa menzilli bir yakın dövüş silahı. Arkadan vurduğunda bonus hasarı verir.")</f>
        <v>Kısa menzilli bir yakın dövüş silahı. Arkadan vurduğunda bonus hasarı verir.</v>
      </c>
      <c r="G102" s="23" t="str">
        <f>IFERROR(__xludf.DUMMYFUNCTION("GOOGLETRANSLATE(B102, ""en"", ""pt"")"),"Uma arma corpo a corpo de curto alcance. Causa dano de bônus quando atinge por trás.")</f>
        <v>Uma arma corpo a corpo de curto alcance. Causa dano de bônus quando atinge por trás.</v>
      </c>
      <c r="H102" s="24" t="str">
        <f>IFERROR(__xludf.DUMMYFUNCTION("GOOGLETRANSLATE(B102, ""en"", ""de"")"),"Eine Kurzstrecke -Nahkampfwaffe. Fördert Bonusschaden, wenn es von hinten trifft.")</f>
        <v>Eine Kurzstrecke -Nahkampfwaffe. Fördert Bonusschaden, wenn es von hinten trifft.</v>
      </c>
      <c r="I102" s="23" t="str">
        <f>IFERROR(__xludf.DUMMYFUNCTION("GOOGLETRANSLATE(B102, ""en"", ""pl"")"),"Broń w zwarciu krótkiego zasięgu. Zadaje obrażenia bonusowe, gdy uderza od tyłu.")</f>
        <v>Broń w zwarciu krótkiego zasięgu. Zadaje obrażenia bonusowe, gdy uderza od tyłu.</v>
      </c>
      <c r="J102" s="25" t="str">
        <f>IFERROR(__xludf.DUMMYFUNCTION("GOOGLETRANSLATE(B102, ""en"", ""zh"")"),"短距离近战武器。从后面击中奖金损失。")</f>
        <v>短距离近战武器。从后面击中奖金损失。</v>
      </c>
      <c r="K102" s="25" t="str">
        <f>IFERROR(__xludf.DUMMYFUNCTION("GOOGLETRANSLATE(B102, ""en"", ""vi"")"),"Một vũ khí cận chiến phạm vi ngắn. Ưu đãi thiệt hại tiền thưởng khi nó đánh từ phía sau.")</f>
        <v>Một vũ khí cận chiến phạm vi ngắn. Ưu đãi thiệt hại tiền thưởng khi nó đánh từ phía sau.</v>
      </c>
      <c r="L102" s="42" t="str">
        <f>IFERROR(__xludf.DUMMYFUNCTION("GOOGLETRANSLATE(B102, ""en"", ""hr"")"),"Oružje za melee kratkog dometa. Nanosi štetu od bonusa kada pogodi odostraga.")</f>
        <v>Oružje za melee kratkog dometa. Nanosi štetu od bonusa kada pogodi odostraga.</v>
      </c>
      <c r="M102" s="26"/>
      <c r="N102" s="26"/>
      <c r="O102" s="26"/>
      <c r="P102" s="26"/>
      <c r="Q102" s="26"/>
      <c r="R102" s="26"/>
      <c r="S102" s="26"/>
      <c r="T102" s="26"/>
      <c r="U102" s="26"/>
      <c r="V102" s="26"/>
      <c r="W102" s="26"/>
      <c r="X102" s="26"/>
      <c r="Y102" s="26"/>
      <c r="Z102" s="26"/>
      <c r="AA102" s="26"/>
      <c r="AB102" s="26"/>
    </row>
    <row r="103">
      <c r="A103" s="21" t="s">
        <v>654</v>
      </c>
      <c r="B103" s="22" t="s">
        <v>655</v>
      </c>
      <c r="C103" s="23" t="str">
        <f>IFERROR(__xludf.DUMMYFUNCTION("GOOGLETRANSLATE(B103, ""en"", ""fr"")"),"Épée de fer")</f>
        <v>Épée de fer</v>
      </c>
      <c r="D103" s="23" t="str">
        <f>IFERROR(__xludf.DUMMYFUNCTION("GOOGLETRANSLATE(B103, ""en"", ""es"")"),"Espada de hierro")</f>
        <v>Espada de hierro</v>
      </c>
      <c r="E103" s="23" t="str">
        <f>IFERROR(__xludf.DUMMYFUNCTION("GOOGLETRANSLATE(B103, ""en"", ""ru"")"),"Железный меч")</f>
        <v>Железный меч</v>
      </c>
      <c r="F103" s="23" t="str">
        <f>IFERROR(__xludf.DUMMYFUNCTION("GOOGLETRANSLATE(B103, ""en"", ""tr"")"),"Demir kılıç")</f>
        <v>Demir kılıç</v>
      </c>
      <c r="G103" s="23" t="str">
        <f>IFERROR(__xludf.DUMMYFUNCTION("GOOGLETRANSLATE(B103, ""en"", ""pt"")"),"Espada de ferro")</f>
        <v>Espada de ferro</v>
      </c>
      <c r="H103" s="24" t="str">
        <f>IFERROR(__xludf.DUMMYFUNCTION("GOOGLETRANSLATE(B103, ""en"", ""de"")"),"Eisenschwert")</f>
        <v>Eisenschwert</v>
      </c>
      <c r="I103" s="23" t="str">
        <f>IFERROR(__xludf.DUMMYFUNCTION("GOOGLETRANSLATE(B103, ""en"", ""pl"")"),"Żelazny miecz")</f>
        <v>Żelazny miecz</v>
      </c>
      <c r="J103" s="25" t="str">
        <f>IFERROR(__xludf.DUMMYFUNCTION("GOOGLETRANSLATE(B103, ""en"", ""zh"")"),"铁剑")</f>
        <v>铁剑</v>
      </c>
      <c r="K103" s="25" t="str">
        <f>IFERROR(__xludf.DUMMYFUNCTION("GOOGLETRANSLATE(B103, ""en"", ""vi"")"),"Thanh kiếm sắt")</f>
        <v>Thanh kiếm sắt</v>
      </c>
      <c r="L103" s="42" t="str">
        <f>IFERROR(__xludf.DUMMYFUNCTION("GOOGLETRANSLATE(B103, ""en"", ""hr"")"),"Mač željeznog mača")</f>
        <v>Mač željeznog mača</v>
      </c>
      <c r="M103" s="26"/>
      <c r="N103" s="26"/>
      <c r="O103" s="26"/>
      <c r="P103" s="26"/>
      <c r="Q103" s="26"/>
      <c r="R103" s="26"/>
      <c r="S103" s="26"/>
      <c r="T103" s="26"/>
      <c r="U103" s="26"/>
      <c r="V103" s="26"/>
      <c r="W103" s="26"/>
      <c r="X103" s="26"/>
      <c r="Y103" s="26"/>
      <c r="Z103" s="26"/>
      <c r="AA103" s="26"/>
      <c r="AB103" s="26"/>
    </row>
    <row r="104">
      <c r="A104" s="21" t="s">
        <v>656</v>
      </c>
      <c r="B104" s="22" t="s">
        <v>657</v>
      </c>
      <c r="C104" s="23" t="str">
        <f>IFERROR(__xludf.DUMMYFUNCTION("GOOGLETRANSLATE(B104, ""en"", ""fr"")"),"Arme de mêlée. Utilisé pour attaquer une courte distance.")</f>
        <v>Arme de mêlée. Utilisé pour attaquer une courte distance.</v>
      </c>
      <c r="D104" s="23" t="str">
        <f>IFERROR(__xludf.DUMMYFUNCTION("GOOGLETRANSLATE(B104, ""en"", ""es"")"),"Arma cuerpo a cuerpo. Solía ​​atacar a una corta distancia de distancia.")</f>
        <v>Arma cuerpo a cuerpo. Solía ​​atacar a una corta distancia de distancia.</v>
      </c>
      <c r="E104" s="23" t="str">
        <f>IFERROR(__xludf.DUMMYFUNCTION("GOOGLETRANSLATE(B104, ""en"", ""ru"")"),"Оружие ближнего боя. Используется для атаки на короткое расстояние.")</f>
        <v>Оружие ближнего боя. Используется для атаки на короткое расстояние.</v>
      </c>
      <c r="F104" s="23" t="str">
        <f>IFERROR(__xludf.DUMMYFUNCTION("GOOGLETRANSLATE(B104, ""en"", ""tr"")"),"Yakın dövüş silahı. Kısa bir mesafeye saldırmak için kullanılır.")</f>
        <v>Yakın dövüş silahı. Kısa bir mesafeye saldırmak için kullanılır.</v>
      </c>
      <c r="G104" s="23" t="str">
        <f>IFERROR(__xludf.DUMMYFUNCTION("GOOGLETRANSLATE(B104, ""en"", ""pt"")"),"Arma branca. Usado para atacar a uma curta distância.")</f>
        <v>Arma branca. Usado para atacar a uma curta distância.</v>
      </c>
      <c r="H104" s="24" t="str">
        <f>IFERROR(__xludf.DUMMYFUNCTION("GOOGLETRANSLATE(B104, ""en"", ""de"")"),"Nahkampfwaffe. Wird verwendet, um eine kurze Strecke entfernt anzugreifen.")</f>
        <v>Nahkampfwaffe. Wird verwendet, um eine kurze Strecke entfernt anzugreifen.</v>
      </c>
      <c r="I104" s="23" t="str">
        <f>IFERROR(__xludf.DUMMYFUNCTION("GOOGLETRANSLATE(B104, ""en"", ""pl"")"),"Broń biała. Używany do ataku w niewielkiej odległości.")</f>
        <v>Broń biała. Używany do ataku w niewielkiej odległości.</v>
      </c>
      <c r="J104" s="25" t="str">
        <f>IFERROR(__xludf.DUMMYFUNCTION("GOOGLETRANSLATE(B104, ""en"", ""zh"")"),"近战武器。用来攻击很短的距离。")</f>
        <v>近战武器。用来攻击很短的距离。</v>
      </c>
      <c r="K104" s="25" t="str">
        <f>IFERROR(__xludf.DUMMYFUNCTION("GOOGLETRANSLATE(B104, ""en"", ""vi"")"),"Vũ khí cận chiến. Được sử dụng để tấn công một khoảng cách ngắn.")</f>
        <v>Vũ khí cận chiến. Được sử dụng để tấn công một khoảng cách ngắn.</v>
      </c>
      <c r="L104" s="42" t="str">
        <f>IFERROR(__xludf.DUMMYFUNCTION("GOOGLETRANSLATE(B104, ""en"", ""hr"")"),"Oružje od melee. Koristio za napad na kratku udaljenost.")</f>
        <v>Oružje od melee. Koristio za napad na kratku udaljenost.</v>
      </c>
      <c r="M104" s="26"/>
      <c r="N104" s="26"/>
      <c r="O104" s="26"/>
      <c r="P104" s="26"/>
      <c r="Q104" s="26"/>
      <c r="R104" s="26"/>
      <c r="S104" s="26"/>
      <c r="T104" s="26"/>
      <c r="U104" s="26"/>
      <c r="V104" s="26"/>
      <c r="W104" s="26"/>
      <c r="X104" s="26"/>
      <c r="Y104" s="26"/>
      <c r="Z104" s="26"/>
      <c r="AA104" s="26"/>
      <c r="AB104" s="26"/>
    </row>
    <row r="105">
      <c r="A105" s="21" t="s">
        <v>658</v>
      </c>
      <c r="B105" s="22" t="s">
        <v>659</v>
      </c>
      <c r="C105" s="23" t="str">
        <f>IFERROR(__xludf.DUMMYFUNCTION("GOOGLETRANSLATE(B105, ""en"", ""fr"")"),"Marteau")</f>
        <v>Marteau</v>
      </c>
      <c r="D105" s="23" t="str">
        <f>IFERROR(__xludf.DUMMYFUNCTION("GOOGLETRANSLATE(B105, ""en"", ""es"")"),"Martillo de hierro")</f>
        <v>Martillo de hierro</v>
      </c>
      <c r="E105" s="23" t="str">
        <f>IFERROR(__xludf.DUMMYFUNCTION("GOOGLETRANSLATE(B105, ""en"", ""ru"")"),"Железный молоток")</f>
        <v>Железный молоток</v>
      </c>
      <c r="F105" s="23" t="str">
        <f>IFERROR(__xludf.DUMMYFUNCTION("GOOGLETRANSLATE(B105, ""en"", ""tr"")"),"Demir çekiç")</f>
        <v>Demir çekiç</v>
      </c>
      <c r="G105" s="23" t="str">
        <f>IFERROR(__xludf.DUMMYFUNCTION("GOOGLETRANSLATE(B105, ""en"", ""pt"")"),"Martelo de ferro")</f>
        <v>Martelo de ferro</v>
      </c>
      <c r="H105" s="24" t="str">
        <f>IFERROR(__xludf.DUMMYFUNCTION("GOOGLETRANSLATE(B105, ""en"", ""de"")"),"Eisenhammer")</f>
        <v>Eisenhammer</v>
      </c>
      <c r="I105" s="23" t="str">
        <f>IFERROR(__xludf.DUMMYFUNCTION("GOOGLETRANSLATE(B105, ""en"", ""pl"")"),"Żelazny młot")</f>
        <v>Żelazny młot</v>
      </c>
      <c r="J105" s="25" t="str">
        <f>IFERROR(__xludf.DUMMYFUNCTION("GOOGLETRANSLATE(B105, ""en"", ""zh"")"),"铁锤")</f>
        <v>铁锤</v>
      </c>
      <c r="K105" s="25" t="str">
        <f>IFERROR(__xludf.DUMMYFUNCTION("GOOGLETRANSLATE(B105, ""en"", ""vi"")"),"Búa sắt")</f>
        <v>Búa sắt</v>
      </c>
      <c r="L105" s="42" t="str">
        <f>IFERROR(__xludf.DUMMYFUNCTION("GOOGLETRANSLATE(B105, ""en"", ""hr"")"),"Željezni čekić")</f>
        <v>Željezni čekić</v>
      </c>
      <c r="M105" s="26"/>
      <c r="N105" s="26"/>
      <c r="O105" s="26"/>
      <c r="P105" s="26"/>
      <c r="Q105" s="26"/>
      <c r="R105" s="26"/>
      <c r="S105" s="26"/>
      <c r="T105" s="26"/>
      <c r="U105" s="26"/>
      <c r="V105" s="26"/>
      <c r="W105" s="26"/>
      <c r="X105" s="26"/>
      <c r="Y105" s="26"/>
      <c r="Z105" s="26"/>
      <c r="AA105" s="26"/>
      <c r="AB105" s="26"/>
    </row>
    <row r="106">
      <c r="A106" s="21" t="s">
        <v>660</v>
      </c>
      <c r="B106" s="22" t="s">
        <v>661</v>
      </c>
      <c r="C106" s="23" t="str">
        <f>IFERROR(__xludf.DUMMYFUNCTION("GOOGLETRANSLATE(B106, ""en"", ""fr"")"),"Arme de mêlée. Repousse les choses un espace quand il frappe.")</f>
        <v>Arme de mêlée. Repousse les choses un espace quand il frappe.</v>
      </c>
      <c r="D106" s="23" t="str">
        <f>IFERROR(__xludf.DUMMYFUNCTION("GOOGLETRANSLATE(B106, ""en"", ""es"")"),"Arma cuerpo a cuerpo. Empuja las cosas un espacio cuando golpea.")</f>
        <v>Arma cuerpo a cuerpo. Empuja las cosas un espacio cuando golpea.</v>
      </c>
      <c r="E106" s="23" t="str">
        <f>IFERROR(__xludf.DUMMYFUNCTION("GOOGLETRANSLATE(B106, ""en"", ""ru"")"),"Оружие ближнего боя. Отталкивает вещи на одно пространство, когда он попадает.")</f>
        <v>Оружие ближнего боя. Отталкивает вещи на одно пространство, когда он попадает.</v>
      </c>
      <c r="F106" s="23" t="str">
        <f>IFERROR(__xludf.DUMMYFUNCTION("GOOGLETRANSLATE(B106, ""en"", ""tr"")"),"Yakın dövüş silahı. Bir şeyleri vurduğunda bir alanı geri iter.")</f>
        <v>Yakın dövüş silahı. Bir şeyleri vurduğunda bir alanı geri iter.</v>
      </c>
      <c r="G106" s="23" t="str">
        <f>IFERROR(__xludf.DUMMYFUNCTION("GOOGLETRANSLATE(B106, ""en"", ""pt"")"),"Arma branca. Empurra as coisas de volta um espaço quando atinge.")</f>
        <v>Arma branca. Empurra as coisas de volta um espaço quando atinge.</v>
      </c>
      <c r="H106" s="24" t="str">
        <f>IFERROR(__xludf.DUMMYFUNCTION("GOOGLETRANSLATE(B106, ""en"", ""de"")"),"Nahkampfwaffe. Drückt die Dinge einen Raum zurück, wenn es trifft.")</f>
        <v>Nahkampfwaffe. Drückt die Dinge einen Raum zurück, wenn es trifft.</v>
      </c>
      <c r="I106" s="23" t="str">
        <f>IFERROR(__xludf.DUMMYFUNCTION("GOOGLETRANSLATE(B106, ""en"", ""pl"")"),"Broń biała. Odsuwa rzeczy do jednego miejsca, gdy uderza.")</f>
        <v>Broń biała. Odsuwa rzeczy do jednego miejsca, gdy uderza.</v>
      </c>
      <c r="J106" s="25" t="str">
        <f>IFERROR(__xludf.DUMMYFUNCTION("GOOGLETRANSLATE(B106, ""en"", ""zh"")"),"近战武器。撞击时将事物推回一个空间。")</f>
        <v>近战武器。撞击时将事物推回一个空间。</v>
      </c>
      <c r="K106" s="25" t="str">
        <f>IFERROR(__xludf.DUMMYFUNCTION("GOOGLETRANSLATE(B106, ""en"", ""vi"")"),"Vũ khí cận chiến. Đẩy mọi thứ trở lại một không gian khi nó chạm vào.")</f>
        <v>Vũ khí cận chiến. Đẩy mọi thứ trở lại một không gian khi nó chạm vào.</v>
      </c>
      <c r="L106" s="42" t="str">
        <f>IFERROR(__xludf.DUMMYFUNCTION("GOOGLETRANSLATE(B106, ""en"", ""hr"")"),"Oružje od melee. Gura stvari natrag jedan prostor kad udari.")</f>
        <v>Oružje od melee. Gura stvari natrag jedan prostor kad udari.</v>
      </c>
      <c r="M106" s="26"/>
      <c r="N106" s="26"/>
      <c r="O106" s="26"/>
      <c r="P106" s="26"/>
      <c r="Q106" s="26"/>
      <c r="R106" s="26"/>
      <c r="S106" s="26"/>
      <c r="T106" s="26"/>
      <c r="U106" s="26"/>
      <c r="V106" s="26"/>
      <c r="W106" s="26"/>
      <c r="X106" s="26"/>
      <c r="Y106" s="26"/>
      <c r="Z106" s="26"/>
      <c r="AA106" s="26"/>
      <c r="AB106" s="26"/>
    </row>
    <row r="107">
      <c r="A107" s="21" t="s">
        <v>662</v>
      </c>
      <c r="B107" s="22" t="s">
        <v>663</v>
      </c>
      <c r="C107" s="23" t="str">
        <f>IFERROR(__xludf.DUMMYFUNCTION("GOOGLETRANSLATE(B107, ""en"", ""fr"")"),"Armure de fer")</f>
        <v>Armure de fer</v>
      </c>
      <c r="D107" s="23" t="str">
        <f>IFERROR(__xludf.DUMMYFUNCTION("GOOGLETRANSLATE(B107, ""en"", ""es"")"),"Armadura de hierro")</f>
        <v>Armadura de hierro</v>
      </c>
      <c r="E107" s="23" t="str">
        <f>IFERROR(__xludf.DUMMYFUNCTION("GOOGLETRANSLATE(B107, ""en"", ""ru"")"),"Железная броня")</f>
        <v>Железная броня</v>
      </c>
      <c r="F107" s="23" t="str">
        <f>IFERROR(__xludf.DUMMYFUNCTION("GOOGLETRANSLATE(B107, ""en"", ""tr"")"),"Demir zırhı")</f>
        <v>Demir zırhı</v>
      </c>
      <c r="G107" s="23" t="str">
        <f>IFERROR(__xludf.DUMMYFUNCTION("GOOGLETRANSLATE(B107, ""en"", ""pt"")"),"Armadura de ferro")</f>
        <v>Armadura de ferro</v>
      </c>
      <c r="H107" s="24" t="str">
        <f>IFERROR(__xludf.DUMMYFUNCTION("GOOGLETRANSLATE(B107, ""en"", ""de"")"),"Eisenpanzerung")</f>
        <v>Eisenpanzerung</v>
      </c>
      <c r="I107" s="23" t="str">
        <f>IFERROR(__xludf.DUMMYFUNCTION("GOOGLETRANSLATE(B107, ""en"", ""pl"")"),"Żelazna zbroja")</f>
        <v>Żelazna zbroja</v>
      </c>
      <c r="J107" s="25" t="str">
        <f>IFERROR(__xludf.DUMMYFUNCTION("GOOGLETRANSLATE(B107, ""en"", ""zh"")"),"铁盔甲")</f>
        <v>铁盔甲</v>
      </c>
      <c r="K107" s="25" t="str">
        <f>IFERROR(__xludf.DUMMYFUNCTION("GOOGLETRANSLATE(B107, ""en"", ""vi"")"),"Áo giáp sắt")</f>
        <v>Áo giáp sắt</v>
      </c>
      <c r="L107" s="42" t="str">
        <f>IFERROR(__xludf.DUMMYFUNCTION("GOOGLETRANSLATE(B107, ""en"", ""hr"")"),"Željezni oklop")</f>
        <v>Željezni oklop</v>
      </c>
      <c r="M107" s="26"/>
      <c r="N107" s="26"/>
      <c r="O107" s="26"/>
      <c r="P107" s="26"/>
      <c r="Q107" s="26"/>
      <c r="R107" s="26"/>
      <c r="S107" s="26"/>
      <c r="T107" s="26"/>
      <c r="U107" s="26"/>
      <c r="V107" s="26"/>
      <c r="W107" s="26"/>
      <c r="X107" s="26"/>
      <c r="Y107" s="26"/>
      <c r="Z107" s="26"/>
      <c r="AA107" s="26"/>
      <c r="AB107" s="26"/>
    </row>
    <row r="108">
      <c r="A108" s="21" t="s">
        <v>664</v>
      </c>
      <c r="B108" s="22" t="s">
        <v>665</v>
      </c>
      <c r="C108" s="23" t="str">
        <f>IFERROR(__xludf.DUMMYFUNCTION("GOOGLETRANSLATE(B108, ""en"", ""fr"")"),"Armure de base pour réduire les dommages pris. Augmente votre statistique de mêlée pendant que vous êtes porté.")</f>
        <v>Armure de base pour réduire les dommages pris. Augmente votre statistique de mêlée pendant que vous êtes porté.</v>
      </c>
      <c r="D108" s="23" t="str">
        <f>IFERROR(__xludf.DUMMYFUNCTION("GOOGLETRANSLATE(B108, ""en"", ""es"")"),"Armadura básica para reducir el daño recibido. Aumenta tu estadística cuerpo a cuerpo mientras se usa.")</f>
        <v>Armadura básica para reducir el daño recibido. Aumenta tu estadística cuerpo a cuerpo mientras se usa.</v>
      </c>
      <c r="E108" s="23" t="str">
        <f>IFERROR(__xludf.DUMMYFUNCTION("GOOGLETRANSLATE(B108, ""en"", ""ru"")"),"Основная броня, чтобы уменьшить ущерб. Увеличивает статистику ближнего боя во время ношения.")</f>
        <v>Основная броня, чтобы уменьшить ущерб. Увеличивает статистику ближнего боя во время ношения.</v>
      </c>
      <c r="F108" s="23" t="str">
        <f>IFERROR(__xludf.DUMMYFUNCTION("GOOGLETRANSLATE(B108, ""en"", ""tr"")"),"Alınan hasarı azaltmak için temel zırh. Yıpranmışken yakın dövüş statınızı artırır.")</f>
        <v>Alınan hasarı azaltmak için temel zırh. Yıpranmışken yakın dövüş statınızı artırır.</v>
      </c>
      <c r="G108" s="23" t="str">
        <f>IFERROR(__xludf.DUMMYFUNCTION("GOOGLETRANSLATE(B108, ""en"", ""pt"")"),"Armadura básica para reduzir os danos causados. Aumenta sua estatística corpo a corpo enquanto usava.")</f>
        <v>Armadura básica para reduzir os danos causados. Aumenta sua estatística corpo a corpo enquanto usava.</v>
      </c>
      <c r="H108" s="24" t="str">
        <f>IFERROR(__xludf.DUMMYFUNCTION("GOOGLETRANSLATE(B108, ""en"", ""de"")"),"Grundlegende Rüstung, um Schäden zu reduzieren. Erhöht Ihren Nahkampfstat, während Sie getragen werden.")</f>
        <v>Grundlegende Rüstung, um Schäden zu reduzieren. Erhöht Ihren Nahkampfstat, während Sie getragen werden.</v>
      </c>
      <c r="I108" s="23" t="str">
        <f>IFERROR(__xludf.DUMMYFUNCTION("GOOGLETRANSLATE(B108, ""en"", ""pl"")"),"Podstawowa zbroja w celu zmniejszenia obrażeń. Zwiększa wręcz w zwarciu podczas noszenia.")</f>
        <v>Podstawowa zbroja w celu zmniejszenia obrażeń. Zwiększa wręcz w zwarciu podczas noszenia.</v>
      </c>
      <c r="J108" s="25" t="str">
        <f>IFERROR(__xludf.DUMMYFUNCTION("GOOGLETRANSLATE(B108, ""en"", ""zh"")"),"减少损坏的基本装甲。磨损时会增加近战统计数据。")</f>
        <v>减少损坏的基本装甲。磨损时会增加近战统计数据。</v>
      </c>
      <c r="K108" s="25" t="str">
        <f>IFERROR(__xludf.DUMMYFUNCTION("GOOGLETRANSLATE(B108, ""en"", ""vi"")"),"Áo giáp cơ bản để giảm thiệt hại. Tăng chỉ số cận chiến của bạn trong khi bị mòn.")</f>
        <v>Áo giáp cơ bản để giảm thiệt hại. Tăng chỉ số cận chiến của bạn trong khi bị mòn.</v>
      </c>
      <c r="L108" s="42" t="str">
        <f>IFERROR(__xludf.DUMMYFUNCTION("GOOGLETRANSLATE(B108, ""en"", ""hr"")"),"Osnovni oklop za smanjenje oštećenja. Povećava svoj stat u melee dok se nosi.")</f>
        <v>Osnovni oklop za smanjenje oštećenja. Povećava svoj stat u melee dok se nosi.</v>
      </c>
      <c r="M108" s="26"/>
      <c r="N108" s="26"/>
      <c r="O108" s="26"/>
      <c r="P108" s="26"/>
      <c r="Q108" s="26"/>
      <c r="R108" s="26"/>
      <c r="S108" s="26"/>
      <c r="T108" s="26"/>
      <c r="U108" s="26"/>
      <c r="V108" s="26"/>
      <c r="W108" s="26"/>
      <c r="X108" s="26"/>
      <c r="Y108" s="26"/>
      <c r="Z108" s="26"/>
      <c r="AA108" s="26"/>
      <c r="AB108" s="26"/>
    </row>
    <row r="109">
      <c r="A109" s="21" t="s">
        <v>666</v>
      </c>
      <c r="B109" s="22" t="s">
        <v>667</v>
      </c>
      <c r="C109" s="23" t="str">
        <f>IFERROR(__xludf.DUMMYFUNCTION("GOOGLETRANSLATE(B109, ""en"", ""fr"")"),"Hachette de dungium")</f>
        <v>Hachette de dungium</v>
      </c>
      <c r="D109" s="23" t="str">
        <f>IFERROR(__xludf.DUMMYFUNCTION("GOOGLETRANSLATE(B109, ""en"", ""es"")"),"Hacha del dungio")</f>
        <v>Hacha del dungio</v>
      </c>
      <c r="E109" s="23" t="str">
        <f>IFERROR(__xludf.DUMMYFUNCTION("GOOGLETRANSLATE(B109, ""en"", ""ru"")"),"Дангайский топор")</f>
        <v>Дангайский топор</v>
      </c>
      <c r="F109" s="23" t="str">
        <f>IFERROR(__xludf.DUMMYFUNCTION("GOOGLETRANSLATE(B109, ""en"", ""tr"")"),"Dunyum balta")</f>
        <v>Dunyum balta</v>
      </c>
      <c r="G109" s="23" t="str">
        <f>IFERROR(__xludf.DUMMYFUNCTION("GOOGLETRANSLATE(B109, ""en"", ""pt"")"),"Hatchet de Dungium")</f>
        <v>Hatchet de Dungium</v>
      </c>
      <c r="H109" s="24" t="str">
        <f>IFERROR(__xludf.DUMMYFUNCTION("GOOGLETRANSLATE(B109, ""en"", ""de"")"),"Dungium Hatchet")</f>
        <v>Dungium Hatchet</v>
      </c>
      <c r="I109" s="23" t="str">
        <f>IFERROR(__xludf.DUMMYFUNCTION("GOOGLETRANSLATE(B109, ""en"", ""pl"")"),"Hatchet dungium")</f>
        <v>Hatchet dungium</v>
      </c>
      <c r="J109" s="25" t="str">
        <f>IFERROR(__xludf.DUMMYFUNCTION("GOOGLETRANSLATE(B109, ""en"", ""zh"")"),"琴斧")</f>
        <v>琴斧</v>
      </c>
      <c r="K109" s="25" t="str">
        <f>IFERROR(__xludf.DUMMYFUNCTION("GOOGLETRANSLATE(B109, ""en"", ""vi"")"),"Dungium hatchet")</f>
        <v>Dungium hatchet</v>
      </c>
      <c r="L109" s="42" t="str">
        <f>IFERROR(__xludf.DUMMYFUNCTION("GOOGLETRANSLATE(B109, ""en"", ""hr"")"),"Sjenica")</f>
        <v>Sjenica</v>
      </c>
      <c r="M109" s="26"/>
      <c r="N109" s="26"/>
      <c r="O109" s="26"/>
      <c r="P109" s="26"/>
      <c r="Q109" s="26"/>
      <c r="R109" s="26"/>
      <c r="S109" s="26"/>
      <c r="T109" s="26"/>
      <c r="U109" s="26"/>
      <c r="V109" s="26"/>
      <c r="W109" s="26"/>
      <c r="X109" s="26"/>
      <c r="Y109" s="26"/>
      <c r="Z109" s="26"/>
      <c r="AA109" s="26"/>
      <c r="AB109" s="26"/>
    </row>
    <row r="110">
      <c r="A110" s="21" t="s">
        <v>668</v>
      </c>
      <c r="B110" s="22" t="s">
        <v>631</v>
      </c>
      <c r="C110" s="23" t="str">
        <f>IFERROR(__xludf.DUMMYFUNCTION("GOOGLETRANSLATE(B110, ""en"", ""fr"")"),"Utilisé pour couper les arbres pour le bois.")</f>
        <v>Utilisé pour couper les arbres pour le bois.</v>
      </c>
      <c r="D110" s="23" t="str">
        <f>IFERROR(__xludf.DUMMYFUNCTION("GOOGLETRANSLATE(B110, ""en"", ""es"")"),"Solía ​​cortar árboles para madera.")</f>
        <v>Solía ​​cortar árboles para madera.</v>
      </c>
      <c r="E110" s="23" t="str">
        <f>IFERROR(__xludf.DUMMYFUNCTION("GOOGLETRANSLATE(B110, ""en"", ""ru"")"),"Используется для рубки деревьев для дерева.")</f>
        <v>Используется для рубки деревьев для дерева.</v>
      </c>
      <c r="F110" s="23" t="str">
        <f>IFERROR(__xludf.DUMMYFUNCTION("GOOGLETRANSLATE(B110, ""en"", ""tr"")"),"Ahşap için ağaçları kesmek için kullanılır.")</f>
        <v>Ahşap için ağaçları kesmek için kullanılır.</v>
      </c>
      <c r="G110" s="23" t="str">
        <f>IFERROR(__xludf.DUMMYFUNCTION("GOOGLETRANSLATE(B110, ""en"", ""pt"")"),"Usado para cortar árvores para madeira.")</f>
        <v>Usado para cortar árvores para madeira.</v>
      </c>
      <c r="H110" s="24" t="str">
        <f>IFERROR(__xludf.DUMMYFUNCTION("GOOGLETRANSLATE(B110, ""en"", ""de"")"),"Verwendet, um Bäume für Holz abzuhacken.")</f>
        <v>Verwendet, um Bäume für Holz abzuhacken.</v>
      </c>
      <c r="I110" s="23" t="str">
        <f>IFERROR(__xludf.DUMMYFUNCTION("GOOGLETRANSLATE(B110, ""en"", ""pl"")"),"Służy do ścinania drzew na drewno.")</f>
        <v>Służy do ścinania drzew na drewno.</v>
      </c>
      <c r="J110" s="25" t="str">
        <f>IFERROR(__xludf.DUMMYFUNCTION("GOOGLETRANSLATE(B110, ""en"", ""zh"")"),"用于砍伐树木的树木。")</f>
        <v>用于砍伐树木的树木。</v>
      </c>
      <c r="K110" s="25" t="str">
        <f>IFERROR(__xludf.DUMMYFUNCTION("GOOGLETRANSLATE(B110, ""en"", ""vi"")"),"Được sử dụng để chặt cây cho gỗ.")</f>
        <v>Được sử dụng để chặt cây cho gỗ.</v>
      </c>
      <c r="L110" s="42" t="str">
        <f>IFERROR(__xludf.DUMMYFUNCTION("GOOGLETRANSLATE(B110, ""en"", ""hr"")"),"Koristi se za sjeckanje drveća za drvo.")</f>
        <v>Koristi se za sjeckanje drveća za drvo.</v>
      </c>
      <c r="M110" s="26"/>
      <c r="N110" s="26"/>
      <c r="O110" s="26"/>
      <c r="P110" s="26"/>
      <c r="Q110" s="26"/>
      <c r="R110" s="26"/>
      <c r="S110" s="26"/>
      <c r="T110" s="26"/>
      <c r="U110" s="26"/>
      <c r="V110" s="26"/>
      <c r="W110" s="26"/>
      <c r="X110" s="26"/>
      <c r="Y110" s="26"/>
      <c r="Z110" s="26"/>
      <c r="AA110" s="26"/>
      <c r="AB110" s="26"/>
    </row>
    <row r="111">
      <c r="A111" s="21" t="s">
        <v>669</v>
      </c>
      <c r="B111" s="22" t="s">
        <v>670</v>
      </c>
      <c r="C111" s="23" t="str">
        <f>IFERROR(__xludf.DUMMYFUNCTION("GOOGLETRANSLATE(B111, ""en"", ""fr"")"),"Pickaxe du dungium")</f>
        <v>Pickaxe du dungium</v>
      </c>
      <c r="D111" s="23" t="str">
        <f>IFERROR(__xludf.DUMMYFUNCTION("GOOGLETRANSLATE(B111, ""en"", ""es"")"),"Pico de dungio")</f>
        <v>Pico de dungio</v>
      </c>
      <c r="E111" s="23" t="str">
        <f>IFERROR(__xludf.DUMMYFUNCTION("GOOGLETRANSLATE(B111, ""en"", ""ru"")"),"Dungium Pickaxe")</f>
        <v>Dungium Pickaxe</v>
      </c>
      <c r="F111" s="23" t="str">
        <f>IFERROR(__xludf.DUMMYFUNCTION("GOOGLETRANSLATE(B111, ""en"", ""tr"")"),"Dunyum kazma")</f>
        <v>Dunyum kazma</v>
      </c>
      <c r="G111" s="23" t="str">
        <f>IFERROR(__xludf.DUMMYFUNCTION("GOOGLETRANSLATE(B111, ""en"", ""pt"")"),"Picareta de dungium")</f>
        <v>Picareta de dungium</v>
      </c>
      <c r="H111" s="24" t="str">
        <f>IFERROR(__xludf.DUMMYFUNCTION("GOOGLETRANSLATE(B111, ""en"", ""de"")"),"Dungiumpickel")</f>
        <v>Dungiumpickel</v>
      </c>
      <c r="I111" s="23" t="str">
        <f>IFERROR(__xludf.DUMMYFUNCTION("GOOGLETRANSLATE(B111, ""en"", ""pl"")"),"Pickaxe dungium")</f>
        <v>Pickaxe dungium</v>
      </c>
      <c r="J111" s="25" t="str">
        <f>IFERROR(__xludf.DUMMYFUNCTION("GOOGLETRANSLATE(B111, ""en"", ""zh"")"),"舞蹈挑剔")</f>
        <v>舞蹈挑剔</v>
      </c>
      <c r="K111" s="25" t="str">
        <f>IFERROR(__xludf.DUMMYFUNCTION("GOOGLETRANSLATE(B111, ""en"", ""vi"")"),"Dungium pickaxe")</f>
        <v>Dungium pickaxe</v>
      </c>
      <c r="L111" s="42" t="str">
        <f>IFERROR(__xludf.DUMMYFUNCTION("GOOGLETRANSLATE(B111, ""en"", ""hr"")"),"Dungium pikavi")</f>
        <v>Dungium pikavi</v>
      </c>
      <c r="M111" s="26"/>
      <c r="N111" s="26"/>
      <c r="O111" s="26"/>
      <c r="P111" s="26"/>
      <c r="Q111" s="26"/>
      <c r="R111" s="26"/>
      <c r="S111" s="26"/>
      <c r="T111" s="26"/>
      <c r="U111" s="26"/>
      <c r="V111" s="26"/>
      <c r="W111" s="26"/>
      <c r="X111" s="26"/>
      <c r="Y111" s="26"/>
      <c r="Z111" s="26"/>
      <c r="AA111" s="26"/>
      <c r="AB111" s="26"/>
    </row>
    <row r="112">
      <c r="A112" s="21" t="s">
        <v>671</v>
      </c>
      <c r="B112" s="22" t="s">
        <v>635</v>
      </c>
      <c r="C112" s="23" t="str">
        <f>IFERROR(__xludf.DUMMYFUNCTION("GOOGLETRANSLATE(B112, ""en"", ""fr"")"),"Utilisé pour exploiter des rochers pour le minerai.")</f>
        <v>Utilisé pour exploiter des rochers pour le minerai.</v>
      </c>
      <c r="D112" s="23" t="str">
        <f>IFERROR(__xludf.DUMMYFUNCTION("GOOGLETRANSLATE(B112, ""en"", ""es"")"),"Solía ​​extraer rocas para mineral.")</f>
        <v>Solía ​​extraer rocas para mineral.</v>
      </c>
      <c r="E112" s="23" t="str">
        <f>IFERROR(__xludf.DUMMYFUNCTION("GOOGLETRANSLATE(B112, ""en"", ""ru"")"),"Используется для добычи камней для руды.")</f>
        <v>Используется для добычи камней для руды.</v>
      </c>
      <c r="F112" s="23" t="str">
        <f>IFERROR(__xludf.DUMMYFUNCTION("GOOGLETRANSLATE(B112, ""en"", ""tr"")"),"Cevher için kayaları kullanırdı.")</f>
        <v>Cevher için kayaları kullanırdı.</v>
      </c>
      <c r="G112" s="23" t="str">
        <f>IFERROR(__xludf.DUMMYFUNCTION("GOOGLETRANSLATE(B112, ""en"", ""pt"")"),"Usado para minerar pedras para minério.")</f>
        <v>Usado para minerar pedras para minério.</v>
      </c>
      <c r="H112" s="24" t="str">
        <f>IFERROR(__xludf.DUMMYFUNCTION("GOOGLETRANSLATE(B112, ""en"", ""de"")"),"Wird verwendet, um Steine ​​für Erz zu abbauen.")</f>
        <v>Wird verwendet, um Steine ​​für Erz zu abbauen.</v>
      </c>
      <c r="I112" s="23" t="str">
        <f>IFERROR(__xludf.DUMMYFUNCTION("GOOGLETRANSLATE(B112, ""en"", ""pl"")"),"Używany do wydobywania skał do rudy.")</f>
        <v>Używany do wydobywania skał do rudy.</v>
      </c>
      <c r="J112" s="25" t="str">
        <f>IFERROR(__xludf.DUMMYFUNCTION("GOOGLETRANSLATE(B112, ""en"", ""zh"")"),"用于开采矿石的岩石。")</f>
        <v>用于开采矿石的岩石。</v>
      </c>
      <c r="K112" s="25" t="str">
        <f>IFERROR(__xludf.DUMMYFUNCTION("GOOGLETRANSLATE(B112, ""en"", ""vi"")"),"Được sử dụng để khai thác đá cho quặng.")</f>
        <v>Được sử dụng để khai thác đá cho quặng.</v>
      </c>
      <c r="L112" s="42" t="str">
        <f>IFERROR(__xludf.DUMMYFUNCTION("GOOGLETRANSLATE(B112, ""en"", ""hr"")"),"Koristio se za minu stijene za rudu.")</f>
        <v>Koristio se za minu stijene za rudu.</v>
      </c>
      <c r="M112" s="26"/>
      <c r="N112" s="26"/>
      <c r="O112" s="26"/>
      <c r="P112" s="26"/>
      <c r="Q112" s="26"/>
      <c r="R112" s="26"/>
      <c r="S112" s="26"/>
      <c r="T112" s="26"/>
      <c r="U112" s="26"/>
      <c r="V112" s="26"/>
      <c r="W112" s="26"/>
      <c r="X112" s="26"/>
      <c r="Y112" s="26"/>
      <c r="Z112" s="26"/>
      <c r="AA112" s="26"/>
      <c r="AB112" s="26"/>
    </row>
    <row r="113">
      <c r="A113" s="21" t="s">
        <v>672</v>
      </c>
      <c r="B113" s="22" t="s">
        <v>673</v>
      </c>
      <c r="C113" s="23" t="str">
        <f>IFERROR(__xludf.DUMMYFUNCTION("GOOGLETRANSLATE(B113, ""en"", ""fr"")"),"Faucille")</f>
        <v>Faucille</v>
      </c>
      <c r="D113" s="23" t="str">
        <f>IFERROR(__xludf.DUMMYFUNCTION("GOOGLETRANSLATE(B113, ""en"", ""es"")"),"Hoz del dungio")</f>
        <v>Hoz del dungio</v>
      </c>
      <c r="E113" s="23" t="str">
        <f>IFERROR(__xludf.DUMMYFUNCTION("GOOGLETRANSLATE(B113, ""en"", ""ru"")"),"Дунгай Серп")</f>
        <v>Дунгай Серп</v>
      </c>
      <c r="F113" s="23" t="str">
        <f>IFERROR(__xludf.DUMMYFUNCTION("GOOGLETRANSLATE(B113, ""en"", ""tr"")"),"Dunyum orak")</f>
        <v>Dunyum orak</v>
      </c>
      <c r="G113" s="23" t="str">
        <f>IFERROR(__xludf.DUMMYFUNCTION("GOOGLETRANSLATE(B113, ""en"", ""pt"")"),"Dungium foice")</f>
        <v>Dungium foice</v>
      </c>
      <c r="H113" s="24" t="str">
        <f>IFERROR(__xludf.DUMMYFUNCTION("GOOGLETRANSLATE(B113, ""en"", ""de"")"),"Dungium Sichel")</f>
        <v>Dungium Sichel</v>
      </c>
      <c r="I113" s="23" t="str">
        <f>IFERROR(__xludf.DUMMYFUNCTION("GOOGLETRANSLATE(B113, ""en"", ""pl"")"),"Situ sierpowa")</f>
        <v>Situ sierpowa</v>
      </c>
      <c r="J113" s="25" t="str">
        <f>IFERROR(__xludf.DUMMYFUNCTION("GOOGLETRANSLATE(B113, ""en"", ""zh"")"),"镰刀")</f>
        <v>镰刀</v>
      </c>
      <c r="K113" s="25" t="str">
        <f>IFERROR(__xludf.DUMMYFUNCTION("GOOGLETRANSLATE(B113, ""en"", ""vi"")"),"Dungium liềm")</f>
        <v>Dungium liềm</v>
      </c>
      <c r="L113" s="42" t="str">
        <f>IFERROR(__xludf.DUMMYFUNCTION("GOOGLETRANSLATE(B113, ""en"", ""hr"")"),"Srp")</f>
        <v>Srp</v>
      </c>
      <c r="M113" s="26"/>
      <c r="N113" s="26"/>
      <c r="O113" s="26"/>
      <c r="P113" s="26"/>
      <c r="Q113" s="26"/>
      <c r="R113" s="26"/>
      <c r="S113" s="26"/>
      <c r="T113" s="26"/>
      <c r="U113" s="26"/>
      <c r="V113" s="26"/>
      <c r="W113" s="26"/>
      <c r="X113" s="26"/>
      <c r="Y113" s="26"/>
      <c r="Z113" s="26"/>
      <c r="AA113" s="26"/>
      <c r="AB113" s="26"/>
    </row>
    <row r="114">
      <c r="A114" s="21" t="s">
        <v>674</v>
      </c>
      <c r="B114" s="22" t="s">
        <v>645</v>
      </c>
      <c r="C114" s="23" t="str">
        <f>IFERROR(__xludf.DUMMYFUNCTION("GOOGLETRANSLATE(B114, ""en"", ""fr"")"),"Utilisé pour rassembler des plantes.")</f>
        <v>Utilisé pour rassembler des plantes.</v>
      </c>
      <c r="D114" s="23" t="str">
        <f>IFERROR(__xludf.DUMMYFUNCTION("GOOGLETRANSLATE(B114, ""en"", ""es"")"),"Se usa para recolectar plantas.")</f>
        <v>Se usa para recolectar plantas.</v>
      </c>
      <c r="E114" s="23" t="str">
        <f>IFERROR(__xludf.DUMMYFUNCTION("GOOGLETRANSLATE(B114, ""en"", ""ru"")"),"Используется для сбора растений.")</f>
        <v>Используется для сбора растений.</v>
      </c>
      <c r="F114" s="23" t="str">
        <f>IFERROR(__xludf.DUMMYFUNCTION("GOOGLETRANSLATE(B114, ""en"", ""tr"")"),"Bitkiler toplamak için kullanılır.")</f>
        <v>Bitkiler toplamak için kullanılır.</v>
      </c>
      <c r="G114" s="23" t="str">
        <f>IFERROR(__xludf.DUMMYFUNCTION("GOOGLETRANSLATE(B114, ""en"", ""pt"")"),"Usado para reunir plantas.")</f>
        <v>Usado para reunir plantas.</v>
      </c>
      <c r="H114" s="24" t="str">
        <f>IFERROR(__xludf.DUMMYFUNCTION("GOOGLETRANSLATE(B114, ""en"", ""de"")"),"Verwendet, um Pflanzen zu sammeln.")</f>
        <v>Verwendet, um Pflanzen zu sammeln.</v>
      </c>
      <c r="I114" s="23" t="str">
        <f>IFERROR(__xludf.DUMMYFUNCTION("GOOGLETRANSLATE(B114, ""en"", ""pl"")"),"Używane do zbierania roślin.")</f>
        <v>Używane do zbierania roślin.</v>
      </c>
      <c r="J114" s="25" t="str">
        <f>IFERROR(__xludf.DUMMYFUNCTION("GOOGLETRANSLATE(B114, ""en"", ""zh"")"),"用于收集植物。")</f>
        <v>用于收集植物。</v>
      </c>
      <c r="K114" s="25" t="str">
        <f>IFERROR(__xludf.DUMMYFUNCTION("GOOGLETRANSLATE(B114, ""en"", ""vi"")"),"Được sử dụng để thu thập thực vật.")</f>
        <v>Được sử dụng để thu thập thực vật.</v>
      </c>
      <c r="L114" s="42" t="str">
        <f>IFERROR(__xludf.DUMMYFUNCTION("GOOGLETRANSLATE(B114, ""en"", ""hr"")"),"Koristi se za okupljanje biljaka.")</f>
        <v>Koristi se za okupljanje biljaka.</v>
      </c>
      <c r="M114" s="26"/>
      <c r="N114" s="26"/>
      <c r="O114" s="26"/>
      <c r="P114" s="26"/>
      <c r="Q114" s="26"/>
      <c r="R114" s="26"/>
      <c r="S114" s="26"/>
      <c r="T114" s="26"/>
      <c r="U114" s="26"/>
      <c r="V114" s="26"/>
      <c r="W114" s="26"/>
      <c r="X114" s="26"/>
      <c r="Y114" s="26"/>
      <c r="Z114" s="26"/>
      <c r="AA114" s="26"/>
      <c r="AB114" s="26"/>
    </row>
    <row r="115">
      <c r="A115" s="21" t="s">
        <v>675</v>
      </c>
      <c r="B115" s="22" t="s">
        <v>676</v>
      </c>
      <c r="C115" s="23" t="str">
        <f>IFERROR(__xludf.DUMMYFUNCTION("GOOGLETRANSLATE(B115, ""en"", ""fr"")"),"Flèches de dungium")</f>
        <v>Flèches de dungium</v>
      </c>
      <c r="D115" s="23" t="str">
        <f>IFERROR(__xludf.DUMMYFUNCTION("GOOGLETRANSLATE(B115, ""en"", ""es"")"),"Flechas del dungio")</f>
        <v>Flechas del dungio</v>
      </c>
      <c r="E115" s="23" t="str">
        <f>IFERROR(__xludf.DUMMYFUNCTION("GOOGLETRANSLATE(B115, ""en"", ""ru"")"),"Стрелки Джунга")</f>
        <v>Стрелки Джунга</v>
      </c>
      <c r="F115" s="23" t="str">
        <f>IFERROR(__xludf.DUMMYFUNCTION("GOOGLETRANSLATE(B115, ""en"", ""tr"")"),"Dunyum okları")</f>
        <v>Dunyum okları</v>
      </c>
      <c r="G115" s="23" t="str">
        <f>IFERROR(__xludf.DUMMYFUNCTION("GOOGLETRANSLATE(B115, ""en"", ""pt"")"),"Fletas de dungium")</f>
        <v>Fletas de dungium</v>
      </c>
      <c r="H115" s="24" t="str">
        <f>IFERROR(__xludf.DUMMYFUNCTION("GOOGLETRANSLATE(B115, ""en"", ""de"")"),"Dungiumpfeile")</f>
        <v>Dungiumpfeile</v>
      </c>
      <c r="I115" s="23" t="str">
        <f>IFERROR(__xludf.DUMMYFUNCTION("GOOGLETRANSLATE(B115, ""en"", ""pl"")"),"Strzałki dungium")</f>
        <v>Strzałki dungium</v>
      </c>
      <c r="J115" s="25" t="str">
        <f>IFERROR(__xludf.DUMMYFUNCTION("GOOGLETRANSLATE(B115, ""en"", ""zh"")"),"舞蹈箭头")</f>
        <v>舞蹈箭头</v>
      </c>
      <c r="K115" s="25" t="str">
        <f>IFERROR(__xludf.DUMMYFUNCTION("GOOGLETRANSLATE(B115, ""en"", ""vi"")"),"Mũi tên Dungium")</f>
        <v>Mũi tên Dungium</v>
      </c>
      <c r="L115" s="42" t="str">
        <f>IFERROR(__xludf.DUMMYFUNCTION("GOOGLETRANSLATE(B115, ""en"", ""hr"")"),"Strelice s Dungium")</f>
        <v>Strelice s Dungium</v>
      </c>
      <c r="M115" s="26"/>
      <c r="N115" s="26"/>
      <c r="O115" s="26"/>
      <c r="P115" s="26"/>
      <c r="Q115" s="26"/>
      <c r="R115" s="26"/>
      <c r="S115" s="26"/>
      <c r="T115" s="26"/>
      <c r="U115" s="26"/>
      <c r="V115" s="26"/>
      <c r="W115" s="26"/>
      <c r="X115" s="26"/>
      <c r="Y115" s="26"/>
      <c r="Z115" s="26"/>
      <c r="AA115" s="26"/>
      <c r="AB115" s="26"/>
    </row>
    <row r="116">
      <c r="A116" s="21" t="s">
        <v>677</v>
      </c>
      <c r="B116" s="22" t="s">
        <v>649</v>
      </c>
      <c r="C116" s="23" t="str">
        <f>IFERROR(__xludf.DUMMYFUNCTION("GOOGLETRANSLATE(B116, ""en"", ""fr"")"),"Utilisé comme munitions pour un arc.")</f>
        <v>Utilisé comme munitions pour un arc.</v>
      </c>
      <c r="D116" s="23" t="str">
        <f>IFERROR(__xludf.DUMMYFUNCTION("GOOGLETRANSLATE(B116, ""en"", ""es"")"),"Utilizado como municiones para un arco.")</f>
        <v>Utilizado como municiones para un arco.</v>
      </c>
      <c r="E116" s="23" t="str">
        <f>IFERROR(__xludf.DUMMYFUNCTION("GOOGLETRANSLATE(B116, ""en"", ""ru"")"),"Используется в качестве боеприпасов для лука.")</f>
        <v>Используется в качестве боеприпасов для лука.</v>
      </c>
      <c r="F116" s="23" t="str">
        <f>IFERROR(__xludf.DUMMYFUNCTION("GOOGLETRANSLATE(B116, ""en"", ""tr"")"),"Bir yay için mühimmat olarak kullanılır.")</f>
        <v>Bir yay için mühimmat olarak kullanılır.</v>
      </c>
      <c r="G116" s="23" t="str">
        <f>IFERROR(__xludf.DUMMYFUNCTION("GOOGLETRANSLATE(B116, ""en"", ""pt"")"),"Usado como munição para um arco.")</f>
        <v>Usado como munição para um arco.</v>
      </c>
      <c r="H116" s="24" t="str">
        <f>IFERROR(__xludf.DUMMYFUNCTION("GOOGLETRANSLATE(B116, ""en"", ""de"")"),"Als Munition für einen Bogen verwendet.")</f>
        <v>Als Munition für einen Bogen verwendet.</v>
      </c>
      <c r="I116" s="23" t="str">
        <f>IFERROR(__xludf.DUMMYFUNCTION("GOOGLETRANSLATE(B116, ""en"", ""pl"")"),"Używane jako amunicja do łuku.")</f>
        <v>Używane jako amunicja do łuku.</v>
      </c>
      <c r="J116" s="25" t="str">
        <f>IFERROR(__xludf.DUMMYFUNCTION("GOOGLETRANSLATE(B116, ""en"", ""zh"")"),"用作弓的弹药。")</f>
        <v>用作弓的弹药。</v>
      </c>
      <c r="K116" s="25" t="str">
        <f>IFERROR(__xludf.DUMMYFUNCTION("GOOGLETRANSLATE(B116, ""en"", ""vi"")"),"Được sử dụng làm đạn dược cho một cây cung.")</f>
        <v>Được sử dụng làm đạn dược cho một cây cung.</v>
      </c>
      <c r="L116" s="42" t="str">
        <f>IFERROR(__xludf.DUMMYFUNCTION("GOOGLETRANSLATE(B116, ""en"", ""hr"")"),"Koristi se kao municija za luk.")</f>
        <v>Koristi se kao municija za luk.</v>
      </c>
      <c r="M116" s="26"/>
      <c r="N116" s="26"/>
      <c r="O116" s="26"/>
      <c r="P116" s="26"/>
      <c r="Q116" s="26"/>
      <c r="R116" s="26"/>
      <c r="S116" s="26"/>
      <c r="T116" s="26"/>
      <c r="U116" s="26"/>
      <c r="V116" s="26"/>
      <c r="W116" s="26"/>
      <c r="X116" s="26"/>
      <c r="Y116" s="26"/>
      <c r="Z116" s="26"/>
      <c r="AA116" s="26"/>
      <c r="AB116" s="26"/>
    </row>
    <row r="117">
      <c r="A117" s="21" t="s">
        <v>678</v>
      </c>
      <c r="B117" s="22" t="s">
        <v>679</v>
      </c>
      <c r="C117" s="23" t="str">
        <f>IFERROR(__xludf.DUMMYFUNCTION("GOOGLETRANSLATE(B117, ""en"", ""fr"")"),"Poignard de dungium")</f>
        <v>Poignard de dungium</v>
      </c>
      <c r="D117" s="23" t="str">
        <f>IFERROR(__xludf.DUMMYFUNCTION("GOOGLETRANSLATE(B117, ""en"", ""es"")"),"Daga de dungio")</f>
        <v>Daga de dungio</v>
      </c>
      <c r="E117" s="23" t="str">
        <f>IFERROR(__xludf.DUMMYFUNCTION("GOOGLETRANSLATE(B117, ""en"", ""ru"")"),"Dungium Kinger")</f>
        <v>Dungium Kinger</v>
      </c>
      <c r="F117" s="23" t="str">
        <f>IFERROR(__xludf.DUMMYFUNCTION("GOOGLETRANSLATE(B117, ""en"", ""tr"")"),"Dunyum Dagger")</f>
        <v>Dunyum Dagger</v>
      </c>
      <c r="G117" s="23" t="str">
        <f>IFERROR(__xludf.DUMMYFUNCTION("GOOGLETRANSLATE(B117, ""en"", ""pt"")"),"Dagger de Dungium")</f>
        <v>Dagger de Dungium</v>
      </c>
      <c r="H117" s="24" t="str">
        <f>IFERROR(__xludf.DUMMYFUNCTION("GOOGLETRANSLATE(B117, ""en"", ""de"")"),"Dungiumdolch")</f>
        <v>Dungiumdolch</v>
      </c>
      <c r="I117" s="23" t="str">
        <f>IFERROR(__xludf.DUMMYFUNCTION("GOOGLETRANSLATE(B117, ""en"", ""pl"")"),"Sztylet dunga")</f>
        <v>Sztylet dunga</v>
      </c>
      <c r="J117" s="25" t="str">
        <f>IFERROR(__xludf.DUMMYFUNCTION("GOOGLETRANSLATE(B117, ""en"", ""zh"")"),"龙豆匕首")</f>
        <v>龙豆匕首</v>
      </c>
      <c r="K117" s="25" t="str">
        <f>IFERROR(__xludf.DUMMYFUNCTION("GOOGLETRANSLATE(B117, ""en"", ""vi"")"),"Dungium dao găm")</f>
        <v>Dungium dao găm</v>
      </c>
      <c r="L117" s="42" t="str">
        <f>IFERROR(__xludf.DUMMYFUNCTION("GOOGLETRANSLATE(B117, ""en"", ""hr"")"),"Bodež")</f>
        <v>Bodež</v>
      </c>
      <c r="M117" s="26"/>
      <c r="N117" s="26"/>
      <c r="O117" s="26"/>
      <c r="P117" s="26"/>
      <c r="Q117" s="26"/>
      <c r="R117" s="26"/>
      <c r="S117" s="26"/>
      <c r="T117" s="26"/>
      <c r="U117" s="26"/>
      <c r="V117" s="26"/>
      <c r="W117" s="26"/>
      <c r="X117" s="26"/>
      <c r="Y117" s="26"/>
      <c r="Z117" s="26"/>
      <c r="AA117" s="26"/>
      <c r="AB117" s="26"/>
    </row>
    <row r="118">
      <c r="A118" s="21" t="s">
        <v>680</v>
      </c>
      <c r="B118" s="22" t="s">
        <v>653</v>
      </c>
      <c r="C118" s="23" t="str">
        <f>IFERROR(__xludf.DUMMYFUNCTION("GOOGLETRANSLATE(B118, ""en"", ""fr"")"),"Une arme de mêlée à courte portée. Infliger des dégâts bonus lorsqu'il frappe par derrière.")</f>
        <v>Une arme de mêlée à courte portée. Infliger des dégâts bonus lorsqu'il frappe par derrière.</v>
      </c>
      <c r="D118" s="23" t="str">
        <f>IFERROR(__xludf.DUMMYFUNCTION("GOOGLETRANSLATE(B118, ""en"", ""es"")"),"Un arma cuerpo a cuerpo de corto alcance. Influye daños adicionales cuando golpea por detrás.")</f>
        <v>Un arma cuerpo a cuerpo de corto alcance. Influye daños adicionales cuando golpea por detrás.</v>
      </c>
      <c r="E118" s="23" t="str">
        <f>IFERROR(__xludf.DUMMYFUNCTION("GOOGLETRANSLATE(B118, ""en"", ""ru"")"),"Короткое расстояние оружия ближнего боя. Наносит бонусный урон, когда он попадает сзади.")</f>
        <v>Короткое расстояние оружия ближнего боя. Наносит бонусный урон, когда он попадает сзади.</v>
      </c>
      <c r="F118" s="23" t="str">
        <f>IFERROR(__xludf.DUMMYFUNCTION("GOOGLETRANSLATE(B118, ""en"", ""tr"")"),"Kısa menzilli bir yakın dövüş silahı. Arkadan vurduğunda bonus hasarı verir.")</f>
        <v>Kısa menzilli bir yakın dövüş silahı. Arkadan vurduğunda bonus hasarı verir.</v>
      </c>
      <c r="G118" s="23" t="str">
        <f>IFERROR(__xludf.DUMMYFUNCTION("GOOGLETRANSLATE(B118, ""en"", ""pt"")"),"Uma arma corpo a corpo de curto alcance. Causa dano de bônus quando atinge por trás.")</f>
        <v>Uma arma corpo a corpo de curto alcance. Causa dano de bônus quando atinge por trás.</v>
      </c>
      <c r="H118" s="24" t="str">
        <f>IFERROR(__xludf.DUMMYFUNCTION("GOOGLETRANSLATE(B118, ""en"", ""de"")"),"Eine Kurzstrecke -Nahkampfwaffe. Fördert Bonusschaden, wenn es von hinten trifft.")</f>
        <v>Eine Kurzstrecke -Nahkampfwaffe. Fördert Bonusschaden, wenn es von hinten trifft.</v>
      </c>
      <c r="I118" s="23" t="str">
        <f>IFERROR(__xludf.DUMMYFUNCTION("GOOGLETRANSLATE(B118, ""en"", ""pl"")"),"Broń w zwarciu krótkiego zasięgu. Zadaje obrażenia bonusowe, gdy uderza od tyłu.")</f>
        <v>Broń w zwarciu krótkiego zasięgu. Zadaje obrażenia bonusowe, gdy uderza od tyłu.</v>
      </c>
      <c r="J118" s="25" t="str">
        <f>IFERROR(__xludf.DUMMYFUNCTION("GOOGLETRANSLATE(B118, ""en"", ""zh"")"),"短距离近战武器。从后面击中奖金损失。")</f>
        <v>短距离近战武器。从后面击中奖金损失。</v>
      </c>
      <c r="K118" s="25" t="str">
        <f>IFERROR(__xludf.DUMMYFUNCTION("GOOGLETRANSLATE(B118, ""en"", ""vi"")"),"Một vũ khí cận chiến phạm vi ngắn. Ưu đãi thiệt hại tiền thưởng khi nó đánh từ phía sau.")</f>
        <v>Một vũ khí cận chiến phạm vi ngắn. Ưu đãi thiệt hại tiền thưởng khi nó đánh từ phía sau.</v>
      </c>
      <c r="L118" s="42" t="str">
        <f>IFERROR(__xludf.DUMMYFUNCTION("GOOGLETRANSLATE(B118, ""en"", ""hr"")"),"Oružje za melee kratkog dometa. Nanosi štetu od bonusa kada pogodi odostraga.")</f>
        <v>Oružje za melee kratkog dometa. Nanosi štetu od bonusa kada pogodi odostraga.</v>
      </c>
      <c r="M118" s="26"/>
      <c r="N118" s="26"/>
      <c r="O118" s="26"/>
      <c r="P118" s="26"/>
      <c r="Q118" s="26"/>
      <c r="R118" s="26"/>
      <c r="S118" s="26"/>
      <c r="T118" s="26"/>
      <c r="U118" s="26"/>
      <c r="V118" s="26"/>
      <c r="W118" s="26"/>
      <c r="X118" s="26"/>
      <c r="Y118" s="26"/>
      <c r="Z118" s="26"/>
      <c r="AA118" s="26"/>
      <c r="AB118" s="26"/>
    </row>
    <row r="119">
      <c r="A119" s="21" t="s">
        <v>681</v>
      </c>
      <c r="B119" s="22" t="s">
        <v>682</v>
      </c>
      <c r="C119" s="23" t="str">
        <f>IFERROR(__xludf.DUMMYFUNCTION("GOOGLETRANSLATE(B119, ""en"", ""fr"")"),"Épée du dungium")</f>
        <v>Épée du dungium</v>
      </c>
      <c r="D119" s="23" t="str">
        <f>IFERROR(__xludf.DUMMYFUNCTION("GOOGLETRANSLATE(B119, ""en"", ""es"")"),"Espada dungium")</f>
        <v>Espada dungium</v>
      </c>
      <c r="E119" s="23" t="str">
        <f>IFERROR(__xludf.DUMMYFUNCTION("GOOGLETRANSLATE(B119, ""en"", ""ru"")"),"Dungium Меч")</f>
        <v>Dungium Меч</v>
      </c>
      <c r="F119" s="23" t="str">
        <f>IFERROR(__xludf.DUMMYFUNCTION("GOOGLETRANSLATE(B119, ""en"", ""tr"")"),"Dunyum Kılıcı")</f>
        <v>Dunyum Kılıcı</v>
      </c>
      <c r="G119" s="23" t="str">
        <f>IFERROR(__xludf.DUMMYFUNCTION("GOOGLETRANSLATE(B119, ""en"", ""pt"")"),"Espada de Dungium")</f>
        <v>Espada de Dungium</v>
      </c>
      <c r="H119" s="24" t="str">
        <f>IFERROR(__xludf.DUMMYFUNCTION("GOOGLETRANSLATE(B119, ""en"", ""de"")"),"Dungiumschwert")</f>
        <v>Dungiumschwert</v>
      </c>
      <c r="I119" s="23" t="str">
        <f>IFERROR(__xludf.DUMMYFUNCTION("GOOGLETRANSLATE(B119, ""en"", ""pl"")"),"Miecz dungium")</f>
        <v>Miecz dungium</v>
      </c>
      <c r="J119" s="25" t="str">
        <f>IFERROR(__xludf.DUMMYFUNCTION("GOOGLETRANSLATE(B119, ""en"", ""zh"")"),"舞蹈剑")</f>
        <v>舞蹈剑</v>
      </c>
      <c r="K119" s="25" t="str">
        <f>IFERROR(__xludf.DUMMYFUNCTION("GOOGLETRANSLATE(B119, ""en"", ""vi"")"),"Thanh kiếm Dungium")</f>
        <v>Thanh kiếm Dungium</v>
      </c>
      <c r="L119" s="42" t="str">
        <f>IFERROR(__xludf.DUMMYFUNCTION("GOOGLETRANSLATE(B119, ""en"", ""hr"")"),"Mače")</f>
        <v>Mače</v>
      </c>
      <c r="M119" s="26"/>
      <c r="N119" s="26"/>
      <c r="O119" s="26"/>
      <c r="P119" s="26"/>
      <c r="Q119" s="26"/>
      <c r="R119" s="26"/>
      <c r="S119" s="26"/>
      <c r="T119" s="26"/>
      <c r="U119" s="26"/>
      <c r="V119" s="26"/>
      <c r="W119" s="26"/>
      <c r="X119" s="26"/>
      <c r="Y119" s="26"/>
      <c r="Z119" s="26"/>
      <c r="AA119" s="26"/>
      <c r="AB119" s="26"/>
    </row>
    <row r="120">
      <c r="A120" s="21" t="s">
        <v>683</v>
      </c>
      <c r="B120" s="22" t="s">
        <v>657</v>
      </c>
      <c r="C120" s="23" t="str">
        <f>IFERROR(__xludf.DUMMYFUNCTION("GOOGLETRANSLATE(B120, ""en"", ""fr"")"),"Arme de mêlée. Utilisé pour attaquer une courte distance.")</f>
        <v>Arme de mêlée. Utilisé pour attaquer une courte distance.</v>
      </c>
      <c r="D120" s="23" t="str">
        <f>IFERROR(__xludf.DUMMYFUNCTION("GOOGLETRANSLATE(B120, ""en"", ""es"")"),"Arma cuerpo a cuerpo. Solía ​​atacar a una corta distancia de distancia.")</f>
        <v>Arma cuerpo a cuerpo. Solía ​​atacar a una corta distancia de distancia.</v>
      </c>
      <c r="E120" s="23" t="str">
        <f>IFERROR(__xludf.DUMMYFUNCTION("GOOGLETRANSLATE(B120, ""en"", ""ru"")"),"Оружие ближнего боя. Используется для атаки на короткое расстояние.")</f>
        <v>Оружие ближнего боя. Используется для атаки на короткое расстояние.</v>
      </c>
      <c r="F120" s="23" t="str">
        <f>IFERROR(__xludf.DUMMYFUNCTION("GOOGLETRANSLATE(B120, ""en"", ""tr"")"),"Yakın dövüş silahı. Kısa bir mesafeye saldırmak için kullanılır.")</f>
        <v>Yakın dövüş silahı. Kısa bir mesafeye saldırmak için kullanılır.</v>
      </c>
      <c r="G120" s="23" t="str">
        <f>IFERROR(__xludf.DUMMYFUNCTION("GOOGLETRANSLATE(B120, ""en"", ""pt"")"),"Arma branca. Usado para atacar a uma curta distância.")</f>
        <v>Arma branca. Usado para atacar a uma curta distância.</v>
      </c>
      <c r="H120" s="24" t="str">
        <f>IFERROR(__xludf.DUMMYFUNCTION("GOOGLETRANSLATE(B120, ""en"", ""de"")"),"Nahkampfwaffe. Wird verwendet, um eine kurze Strecke entfernt anzugreifen.")</f>
        <v>Nahkampfwaffe. Wird verwendet, um eine kurze Strecke entfernt anzugreifen.</v>
      </c>
      <c r="I120" s="23" t="str">
        <f>IFERROR(__xludf.DUMMYFUNCTION("GOOGLETRANSLATE(B120, ""en"", ""pl"")"),"Broń biała. Używany do ataku w niewielkiej odległości.")</f>
        <v>Broń biała. Używany do ataku w niewielkiej odległości.</v>
      </c>
      <c r="J120" s="25" t="str">
        <f>IFERROR(__xludf.DUMMYFUNCTION("GOOGLETRANSLATE(B120, ""en"", ""zh"")"),"近战武器。用来攻击很短的距离。")</f>
        <v>近战武器。用来攻击很短的距离。</v>
      </c>
      <c r="K120" s="25" t="str">
        <f>IFERROR(__xludf.DUMMYFUNCTION("GOOGLETRANSLATE(B120, ""en"", ""vi"")"),"Vũ khí cận chiến. Được sử dụng để tấn công một khoảng cách ngắn.")</f>
        <v>Vũ khí cận chiến. Được sử dụng để tấn công một khoảng cách ngắn.</v>
      </c>
      <c r="L120" s="42" t="str">
        <f>IFERROR(__xludf.DUMMYFUNCTION("GOOGLETRANSLATE(B120, ""en"", ""hr"")"),"Oružje od melee. Koristio za napad na kratku udaljenost.")</f>
        <v>Oružje od melee. Koristio za napad na kratku udaljenost.</v>
      </c>
      <c r="M120" s="26"/>
      <c r="N120" s="26"/>
      <c r="O120" s="26"/>
      <c r="P120" s="26"/>
      <c r="Q120" s="26"/>
      <c r="R120" s="26"/>
      <c r="S120" s="26"/>
      <c r="T120" s="26"/>
      <c r="U120" s="26"/>
      <c r="V120" s="26"/>
      <c r="W120" s="26"/>
      <c r="X120" s="26"/>
      <c r="Y120" s="26"/>
      <c r="Z120" s="26"/>
      <c r="AA120" s="26"/>
      <c r="AB120" s="26"/>
    </row>
    <row r="121">
      <c r="A121" s="21" t="s">
        <v>684</v>
      </c>
      <c r="B121" s="22" t="s">
        <v>685</v>
      </c>
      <c r="C121" s="23" t="str">
        <f>IFERROR(__xludf.DUMMYFUNCTION("GOOGLETRANSLATE(B121, ""en"", ""fr"")"),"Marteau du dungium")</f>
        <v>Marteau du dungium</v>
      </c>
      <c r="D121" s="23" t="str">
        <f>IFERROR(__xludf.DUMMYFUNCTION("GOOGLETRANSLATE(B121, ""en"", ""es"")"),"Martillo dungium")</f>
        <v>Martillo dungium</v>
      </c>
      <c r="E121" s="23" t="str">
        <f>IFERROR(__xludf.DUMMYFUNCTION("GOOGLETRANSLATE(B121, ""en"", ""ru"")"),"Молот")</f>
        <v>Молот</v>
      </c>
      <c r="F121" s="23" t="str">
        <f>IFERROR(__xludf.DUMMYFUNCTION("GOOGLETRANSLATE(B121, ""en"", ""tr"")"),"Dunyum Çekiç")</f>
        <v>Dunyum Çekiç</v>
      </c>
      <c r="G121" s="23" t="str">
        <f>IFERROR(__xludf.DUMMYFUNCTION("GOOGLETRANSLATE(B121, ""en"", ""pt"")"),"Martelo de dungium")</f>
        <v>Martelo de dungium</v>
      </c>
      <c r="H121" s="24" t="str">
        <f>IFERROR(__xludf.DUMMYFUNCTION("GOOGLETRANSLATE(B121, ""en"", ""de"")"),"Dungiumhammer")</f>
        <v>Dungiumhammer</v>
      </c>
      <c r="I121" s="23" t="str">
        <f>IFERROR(__xludf.DUMMYFUNCTION("GOOGLETRANSLATE(B121, ""en"", ""pl"")"),"Młot dungium")</f>
        <v>Młot dungium</v>
      </c>
      <c r="J121" s="25" t="str">
        <f>IFERROR(__xludf.DUMMYFUNCTION("GOOGLETRANSLATE(B121, ""en"", ""zh"")"),"舞者锤")</f>
        <v>舞者锤</v>
      </c>
      <c r="K121" s="25" t="str">
        <f>IFERROR(__xludf.DUMMYFUNCTION("GOOGLETRANSLATE(B121, ""en"", ""vi"")"),"Búa Dungium")</f>
        <v>Búa Dungium</v>
      </c>
      <c r="L121" s="42" t="str">
        <f>IFERROR(__xludf.DUMMYFUNCTION("GOOGLETRANSLATE(B121, ""en"", ""hr"")"),"Čekić")</f>
        <v>Čekić</v>
      </c>
      <c r="M121" s="26"/>
      <c r="N121" s="26"/>
      <c r="O121" s="26"/>
      <c r="P121" s="26"/>
      <c r="Q121" s="26"/>
      <c r="R121" s="26"/>
      <c r="S121" s="26"/>
      <c r="T121" s="26"/>
      <c r="U121" s="26"/>
      <c r="V121" s="26"/>
      <c r="W121" s="26"/>
      <c r="X121" s="26"/>
      <c r="Y121" s="26"/>
      <c r="Z121" s="26"/>
      <c r="AA121" s="26"/>
      <c r="AB121" s="26"/>
    </row>
    <row r="122">
      <c r="A122" s="21" t="s">
        <v>686</v>
      </c>
      <c r="B122" s="22" t="s">
        <v>661</v>
      </c>
      <c r="C122" s="23" t="str">
        <f>IFERROR(__xludf.DUMMYFUNCTION("GOOGLETRANSLATE(B122, ""en"", ""fr"")"),"Arme de mêlée. Repousse les choses un espace quand il frappe.")</f>
        <v>Arme de mêlée. Repousse les choses un espace quand il frappe.</v>
      </c>
      <c r="D122" s="23" t="str">
        <f>IFERROR(__xludf.DUMMYFUNCTION("GOOGLETRANSLATE(B122, ""en"", ""es"")"),"Arma cuerpo a cuerpo. Empuja las cosas un espacio cuando golpea.")</f>
        <v>Arma cuerpo a cuerpo. Empuja las cosas un espacio cuando golpea.</v>
      </c>
      <c r="E122" s="23" t="str">
        <f>IFERROR(__xludf.DUMMYFUNCTION("GOOGLETRANSLATE(B122, ""en"", ""ru"")"),"Оружие ближнего боя. Отталкивает вещи на одно пространство, когда он попадает.")</f>
        <v>Оружие ближнего боя. Отталкивает вещи на одно пространство, когда он попадает.</v>
      </c>
      <c r="F122" s="23" t="str">
        <f>IFERROR(__xludf.DUMMYFUNCTION("GOOGLETRANSLATE(B122, ""en"", ""tr"")"),"Yakın dövüş silahı. Bir şeyleri vurduğunda bir alanı geri iter.")</f>
        <v>Yakın dövüş silahı. Bir şeyleri vurduğunda bir alanı geri iter.</v>
      </c>
      <c r="G122" s="23" t="str">
        <f>IFERROR(__xludf.DUMMYFUNCTION("GOOGLETRANSLATE(B122, ""en"", ""pt"")"),"Arma branca. Empurra as coisas de volta um espaço quando atinge.")</f>
        <v>Arma branca. Empurra as coisas de volta um espaço quando atinge.</v>
      </c>
      <c r="H122" s="24" t="str">
        <f>IFERROR(__xludf.DUMMYFUNCTION("GOOGLETRANSLATE(B122, ""en"", ""de"")"),"Nahkampfwaffe. Drückt die Dinge einen Raum zurück, wenn es trifft.")</f>
        <v>Nahkampfwaffe. Drückt die Dinge einen Raum zurück, wenn es trifft.</v>
      </c>
      <c r="I122" s="23" t="str">
        <f>IFERROR(__xludf.DUMMYFUNCTION("GOOGLETRANSLATE(B122, ""en"", ""pl"")"),"Broń biała. Odsuwa rzeczy do jednego miejsca, gdy uderza.")</f>
        <v>Broń biała. Odsuwa rzeczy do jednego miejsca, gdy uderza.</v>
      </c>
      <c r="J122" s="25" t="str">
        <f>IFERROR(__xludf.DUMMYFUNCTION("GOOGLETRANSLATE(B122, ""en"", ""zh"")"),"近战武器。撞击时将事物推回一个空间。")</f>
        <v>近战武器。撞击时将事物推回一个空间。</v>
      </c>
      <c r="K122" s="25" t="str">
        <f>IFERROR(__xludf.DUMMYFUNCTION("GOOGLETRANSLATE(B122, ""en"", ""vi"")"),"Vũ khí cận chiến. Đẩy mọi thứ trở lại một không gian khi nó chạm vào.")</f>
        <v>Vũ khí cận chiến. Đẩy mọi thứ trở lại một không gian khi nó chạm vào.</v>
      </c>
      <c r="L122" s="42" t="str">
        <f>IFERROR(__xludf.DUMMYFUNCTION("GOOGLETRANSLATE(B122, ""en"", ""hr"")"),"Oružje od melee. Gura stvari natrag jedan prostor kad udari.")</f>
        <v>Oružje od melee. Gura stvari natrag jedan prostor kad udari.</v>
      </c>
      <c r="M122" s="26"/>
      <c r="N122" s="26"/>
      <c r="O122" s="26"/>
      <c r="P122" s="26"/>
      <c r="Q122" s="26"/>
      <c r="R122" s="26"/>
      <c r="S122" s="26"/>
      <c r="T122" s="26"/>
      <c r="U122" s="26"/>
      <c r="V122" s="26"/>
      <c r="W122" s="26"/>
      <c r="X122" s="26"/>
      <c r="Y122" s="26"/>
      <c r="Z122" s="26"/>
      <c r="AA122" s="26"/>
      <c r="AB122" s="26"/>
    </row>
    <row r="123">
      <c r="A123" s="21" t="s">
        <v>687</v>
      </c>
      <c r="B123" s="22" t="s">
        <v>688</v>
      </c>
      <c r="C123" s="23" t="str">
        <f>IFERROR(__xludf.DUMMYFUNCTION("GOOGLETRANSLATE(B123, ""en"", ""fr"")"),"Armure de dungium")</f>
        <v>Armure de dungium</v>
      </c>
      <c r="D123" s="23" t="str">
        <f>IFERROR(__xludf.DUMMYFUNCTION("GOOGLETRANSLATE(B123, ""en"", ""es"")"),"Armadura del dungio")</f>
        <v>Armadura del dungio</v>
      </c>
      <c r="E123" s="23" t="str">
        <f>IFERROR(__xludf.DUMMYFUNCTION("GOOGLETRANSLATE(B123, ""en"", ""ru"")"),"Дюнгиум броня")</f>
        <v>Дюнгиум броня</v>
      </c>
      <c r="F123" s="23" t="str">
        <f>IFERROR(__xludf.DUMMYFUNCTION("GOOGLETRANSLATE(B123, ""en"", ""tr"")"),"Dunyum zırhı")</f>
        <v>Dunyum zırhı</v>
      </c>
      <c r="G123" s="23" t="str">
        <f>IFERROR(__xludf.DUMMYFUNCTION("GOOGLETRANSLATE(B123, ""en"", ""pt"")"),"Armadura de Dungium")</f>
        <v>Armadura de Dungium</v>
      </c>
      <c r="H123" s="24" t="str">
        <f>IFERROR(__xludf.DUMMYFUNCTION("GOOGLETRANSLATE(B123, ""en"", ""de"")"),"Dungiumpanzerung")</f>
        <v>Dungiumpanzerung</v>
      </c>
      <c r="I123" s="23" t="str">
        <f>IFERROR(__xludf.DUMMYFUNCTION("GOOGLETRANSLATE(B123, ""en"", ""pl"")"),"Pancerz dungium")</f>
        <v>Pancerz dungium</v>
      </c>
      <c r="J123" s="25" t="str">
        <f>IFERROR(__xludf.DUMMYFUNCTION("GOOGLETRANSLATE(B123, ""en"", ""zh"")"),"舞蹈装甲")</f>
        <v>舞蹈装甲</v>
      </c>
      <c r="K123" s="25" t="str">
        <f>IFERROR(__xludf.DUMMYFUNCTION("GOOGLETRANSLATE(B123, ""en"", ""vi"")"),"Áo giáp Dungium")</f>
        <v>Áo giáp Dungium</v>
      </c>
      <c r="L123" s="42" t="str">
        <f>IFERROR(__xludf.DUMMYFUNCTION("GOOGLETRANSLATE(B123, ""en"", ""hr"")"),"Oklop od dungijum")</f>
        <v>Oklop od dungijum</v>
      </c>
      <c r="M123" s="26"/>
      <c r="N123" s="26"/>
      <c r="O123" s="26"/>
      <c r="P123" s="26"/>
      <c r="Q123" s="26"/>
      <c r="R123" s="26"/>
      <c r="S123" s="26"/>
      <c r="T123" s="26"/>
      <c r="U123" s="26"/>
      <c r="V123" s="26"/>
      <c r="W123" s="26"/>
      <c r="X123" s="26"/>
      <c r="Y123" s="26"/>
      <c r="Z123" s="26"/>
      <c r="AA123" s="26"/>
      <c r="AB123" s="26"/>
    </row>
    <row r="124">
      <c r="A124" s="21" t="s">
        <v>689</v>
      </c>
      <c r="B124" s="22" t="s">
        <v>690</v>
      </c>
      <c r="C124" s="23" t="str">
        <f>IFERROR(__xludf.DUMMYFUNCTION("GOOGLETRANSLATE(B124, ""en"", ""fr"")"),"Brillant! Augmente votre statistique de mêlée pendant que vous êtes porté.")</f>
        <v>Brillant! Augmente votre statistique de mêlée pendant que vous êtes porté.</v>
      </c>
      <c r="D124" s="23" t="str">
        <f>IFERROR(__xludf.DUMMYFUNCTION("GOOGLETRANSLATE(B124, ""en"", ""es"")"),"¡Brillante! Aumenta tu estadística cuerpo a cuerpo mientras se usa.")</f>
        <v>¡Brillante! Aumenta tu estadística cuerpo a cuerpo mientras se usa.</v>
      </c>
      <c r="E124" s="23" t="str">
        <f>IFERROR(__xludf.DUMMYFUNCTION("GOOGLETRANSLATE(B124, ""en"", ""ru"")"),"Блеск! Увеличивает статистику ближнего боя во время ношения.")</f>
        <v>Блеск! Увеличивает статистику ближнего боя во время ношения.</v>
      </c>
      <c r="F124" s="23" t="str">
        <f>IFERROR(__xludf.DUMMYFUNCTION("GOOGLETRANSLATE(B124, ""en"", ""tr"")"),"Parlak! Yıpranmışken yakın dövüş statınızı artırır.")</f>
        <v>Parlak! Yıpranmışken yakın dövüş statınızı artırır.</v>
      </c>
      <c r="G124" s="23" t="str">
        <f>IFERROR(__xludf.DUMMYFUNCTION("GOOGLETRANSLATE(B124, ""en"", ""pt"")"),"Brilhante! Aumenta sua estatística corpo a corpo enquanto usava.")</f>
        <v>Brilhante! Aumenta sua estatística corpo a corpo enquanto usava.</v>
      </c>
      <c r="H124" s="24" t="str">
        <f>IFERROR(__xludf.DUMMYFUNCTION("GOOGLETRANSLATE(B124, ""en"", ""de"")"),"Glänzend! Erhöht Ihren Nahkampfstat, während Sie getragen werden.")</f>
        <v>Glänzend! Erhöht Ihren Nahkampfstat, während Sie getragen werden.</v>
      </c>
      <c r="I124" s="23" t="str">
        <f>IFERROR(__xludf.DUMMYFUNCTION("GOOGLETRANSLATE(B124, ""en"", ""pl"")"),"Błyszczący! Zwiększa wręcz w zwarciu podczas noszenia.")</f>
        <v>Błyszczący! Zwiększa wręcz w zwarciu podczas noszenia.</v>
      </c>
      <c r="J124" s="25" t="str">
        <f>IFERROR(__xludf.DUMMYFUNCTION("GOOGLETRANSLATE(B124, ""en"", ""zh"")"),"闪亮的！磨损时会增加近战统计数据。")</f>
        <v>闪亮的！磨损时会增加近战统计数据。</v>
      </c>
      <c r="K124" s="25" t="str">
        <f>IFERROR(__xludf.DUMMYFUNCTION("GOOGLETRANSLATE(B124, ""en"", ""vi"")"),"Sáng bóng! Tăng chỉ số cận chiến của bạn trong khi bị mòn.")</f>
        <v>Sáng bóng! Tăng chỉ số cận chiến của bạn trong khi bị mòn.</v>
      </c>
      <c r="L124" s="42" t="str">
        <f>IFERROR(__xludf.DUMMYFUNCTION("GOOGLETRANSLATE(B124, ""en"", ""hr"")"),"Sjajan! Povećava svoj stat u melee dok se nosi.")</f>
        <v>Sjajan! Povećava svoj stat u melee dok se nosi.</v>
      </c>
      <c r="M124" s="26"/>
      <c r="N124" s="26"/>
      <c r="O124" s="26"/>
      <c r="P124" s="26"/>
      <c r="Q124" s="26"/>
      <c r="R124" s="26"/>
      <c r="S124" s="26"/>
      <c r="T124" s="26"/>
      <c r="U124" s="26"/>
      <c r="V124" s="26"/>
      <c r="W124" s="26"/>
      <c r="X124" s="26"/>
      <c r="Y124" s="26"/>
      <c r="Z124" s="26"/>
      <c r="AA124" s="26"/>
      <c r="AB124" s="26"/>
    </row>
    <row r="125">
      <c r="A125" s="21" t="s">
        <v>691</v>
      </c>
      <c r="B125" s="22" t="s">
        <v>692</v>
      </c>
      <c r="C125" s="23" t="str">
        <f>IFERROR(__xludf.DUMMYFUNCTION("GOOGLETRANSLATE(B125, ""en"", ""fr"")"),"Hachette d'agonite")</f>
        <v>Hachette d'agonite</v>
      </c>
      <c r="D125" s="23" t="str">
        <f>IFERROR(__xludf.DUMMYFUNCTION("GOOGLETRANSLATE(B125, ""en"", ""es"")"),"Hacha del hacha")</f>
        <v>Hacha del hacha</v>
      </c>
      <c r="E125" s="23" t="str">
        <f>IFERROR(__xludf.DUMMYFUNCTION("GOOGLETRANSLATE(B125, ""en"", ""ru"")"),"Агонитный топор")</f>
        <v>Агонитный топор</v>
      </c>
      <c r="F125" s="23" t="str">
        <f>IFERROR(__xludf.DUMMYFUNCTION("GOOGLETRANSLATE(B125, ""en"", ""tr"")"),"Agonit balta")</f>
        <v>Agonit balta</v>
      </c>
      <c r="G125" s="23" t="str">
        <f>IFERROR(__xludf.DUMMYFUNCTION("GOOGLETRANSLATE(B125, ""en"", ""pt"")"),"Agonite Hatchet")</f>
        <v>Agonite Hatchet</v>
      </c>
      <c r="H125" s="24" t="str">
        <f>IFERROR(__xludf.DUMMYFUNCTION("GOOGLETRANSLATE(B125, ""en"", ""de"")"),"Agonite Hatchet")</f>
        <v>Agonite Hatchet</v>
      </c>
      <c r="I125" s="23" t="str">
        <f>IFERROR(__xludf.DUMMYFUNCTION("GOOGLETRANSLATE(B125, ""en"", ""pl"")"),"Agonite Hatchet")</f>
        <v>Agonite Hatchet</v>
      </c>
      <c r="J125" s="25" t="str">
        <f>IFERROR(__xludf.DUMMYFUNCTION("GOOGLETRANSLATE(B125, ""en"", ""zh"")"),"激动剂斧")</f>
        <v>激动剂斧</v>
      </c>
      <c r="K125" s="25" t="str">
        <f>IFERROR(__xludf.DUMMYFUNCTION("GOOGLETRANSLATE(B125, ""en"", ""vi"")"),"Agonite hatchet")</f>
        <v>Agonite hatchet</v>
      </c>
      <c r="L125" s="42" t="str">
        <f>IFERROR(__xludf.DUMMYFUNCTION("GOOGLETRANSLATE(B125, ""en"", ""hr"")"),"Agonitni hatchet")</f>
        <v>Agonitni hatchet</v>
      </c>
      <c r="M125" s="26"/>
      <c r="N125" s="26"/>
      <c r="O125" s="26"/>
      <c r="P125" s="26"/>
      <c r="Q125" s="26"/>
      <c r="R125" s="26"/>
      <c r="S125" s="26"/>
      <c r="T125" s="26"/>
      <c r="U125" s="26"/>
      <c r="V125" s="26"/>
      <c r="W125" s="26"/>
      <c r="X125" s="26"/>
      <c r="Y125" s="26"/>
      <c r="Z125" s="26"/>
      <c r="AA125" s="26"/>
      <c r="AB125" s="26"/>
    </row>
    <row r="126">
      <c r="A126" s="21" t="s">
        <v>693</v>
      </c>
      <c r="B126" s="22" t="s">
        <v>631</v>
      </c>
      <c r="C126" s="23" t="str">
        <f>IFERROR(__xludf.DUMMYFUNCTION("GOOGLETRANSLATE(B126, ""en"", ""fr"")"),"Utilisé pour couper les arbres pour le bois.")</f>
        <v>Utilisé pour couper les arbres pour le bois.</v>
      </c>
      <c r="D126" s="23" t="str">
        <f>IFERROR(__xludf.DUMMYFUNCTION("GOOGLETRANSLATE(B126, ""en"", ""es"")"),"Solía ​​cortar árboles para madera.")</f>
        <v>Solía ​​cortar árboles para madera.</v>
      </c>
      <c r="E126" s="23" t="str">
        <f>IFERROR(__xludf.DUMMYFUNCTION("GOOGLETRANSLATE(B126, ""en"", ""ru"")"),"Используется для рубки деревьев для дерева.")</f>
        <v>Используется для рубки деревьев для дерева.</v>
      </c>
      <c r="F126" s="23" t="str">
        <f>IFERROR(__xludf.DUMMYFUNCTION("GOOGLETRANSLATE(B126, ""en"", ""tr"")"),"Ahşap için ağaçları kesmek için kullanılır.")</f>
        <v>Ahşap için ağaçları kesmek için kullanılır.</v>
      </c>
      <c r="G126" s="23" t="str">
        <f>IFERROR(__xludf.DUMMYFUNCTION("GOOGLETRANSLATE(B126, ""en"", ""pt"")"),"Usado para cortar árvores para madeira.")</f>
        <v>Usado para cortar árvores para madeira.</v>
      </c>
      <c r="H126" s="24" t="str">
        <f>IFERROR(__xludf.DUMMYFUNCTION("GOOGLETRANSLATE(B126, ""en"", ""de"")"),"Verwendet, um Bäume für Holz abzuhacken.")</f>
        <v>Verwendet, um Bäume für Holz abzuhacken.</v>
      </c>
      <c r="I126" s="23" t="str">
        <f>IFERROR(__xludf.DUMMYFUNCTION("GOOGLETRANSLATE(B126, ""en"", ""pl"")"),"Służy do ścinania drzew na drewno.")</f>
        <v>Służy do ścinania drzew na drewno.</v>
      </c>
      <c r="J126" s="25" t="str">
        <f>IFERROR(__xludf.DUMMYFUNCTION("GOOGLETRANSLATE(B126, ""en"", ""zh"")"),"用于砍伐树木的树木。")</f>
        <v>用于砍伐树木的树木。</v>
      </c>
      <c r="K126" s="25" t="str">
        <f>IFERROR(__xludf.DUMMYFUNCTION("GOOGLETRANSLATE(B126, ""en"", ""vi"")"),"Được sử dụng để chặt cây cho gỗ.")</f>
        <v>Được sử dụng để chặt cây cho gỗ.</v>
      </c>
      <c r="L126" s="42" t="str">
        <f>IFERROR(__xludf.DUMMYFUNCTION("GOOGLETRANSLATE(B126, ""en"", ""hr"")"),"Koristi se za sjeckanje drveća za drvo.")</f>
        <v>Koristi se za sjeckanje drveća za drvo.</v>
      </c>
      <c r="M126" s="26"/>
      <c r="N126" s="26"/>
      <c r="O126" s="26"/>
      <c r="P126" s="26"/>
      <c r="Q126" s="26"/>
      <c r="R126" s="26"/>
      <c r="S126" s="26"/>
      <c r="T126" s="26"/>
      <c r="U126" s="26"/>
      <c r="V126" s="26"/>
      <c r="W126" s="26"/>
      <c r="X126" s="26"/>
      <c r="Y126" s="26"/>
      <c r="Z126" s="26"/>
      <c r="AA126" s="26"/>
      <c r="AB126" s="26"/>
    </row>
    <row r="127">
      <c r="A127" s="21" t="s">
        <v>694</v>
      </c>
      <c r="B127" s="22" t="s">
        <v>695</v>
      </c>
      <c r="C127" s="23" t="str">
        <f>IFERROR(__xludf.DUMMYFUNCTION("GOOGLETRANSLATE(B127, ""en"", ""fr"")"),"Pickaxe agonite")</f>
        <v>Pickaxe agonite</v>
      </c>
      <c r="D127" s="23" t="str">
        <f>IFERROR(__xludf.DUMMYFUNCTION("GOOGLETRANSLATE(B127, ""en"", ""es"")"),"Agonita pickaxe")</f>
        <v>Agonita pickaxe</v>
      </c>
      <c r="E127" s="23" t="str">
        <f>IFERROR(__xludf.DUMMYFUNCTION("GOOGLETRANSLATE(B127, ""en"", ""ru"")"),"Агонит Пикса")</f>
        <v>Агонит Пикса</v>
      </c>
      <c r="F127" s="23" t="str">
        <f>IFERROR(__xludf.DUMMYFUNCTION("GOOGLETRANSLATE(B127, ""en"", ""tr"")"),"Agonit kazma")</f>
        <v>Agonit kazma</v>
      </c>
      <c r="G127" s="23" t="str">
        <f>IFERROR(__xludf.DUMMYFUNCTION("GOOGLETRANSLATE(B127, ""en"", ""pt"")"),"Agonite Pickaxe")</f>
        <v>Agonite Pickaxe</v>
      </c>
      <c r="H127" s="24" t="str">
        <f>IFERROR(__xludf.DUMMYFUNCTION("GOOGLETRANSLATE(B127, ""en"", ""de"")"),"Agonite Pickaxe")</f>
        <v>Agonite Pickaxe</v>
      </c>
      <c r="I127" s="23" t="str">
        <f>IFERROR(__xludf.DUMMYFUNCTION("GOOGLETRANSLATE(B127, ""en"", ""pl"")"),"Agonite Pickaxe")</f>
        <v>Agonite Pickaxe</v>
      </c>
      <c r="J127" s="25" t="str">
        <f>IFERROR(__xludf.DUMMYFUNCTION("GOOGLETRANSLATE(B127, ""en"", ""zh"")"),"激动剂拾音器")</f>
        <v>激动剂拾音器</v>
      </c>
      <c r="K127" s="25" t="str">
        <f>IFERROR(__xludf.DUMMYFUNCTION("GOOGLETRANSLATE(B127, ""en"", ""vi"")"),"Agonite Pickaxe")</f>
        <v>Agonite Pickaxe</v>
      </c>
      <c r="L127" s="42" t="str">
        <f>IFERROR(__xludf.DUMMYFUNCTION("GOOGLETRANSLATE(B127, ""en"", ""hr"")"),"Agonitni pikak")</f>
        <v>Agonitni pikak</v>
      </c>
      <c r="M127" s="26"/>
      <c r="N127" s="26"/>
      <c r="O127" s="26"/>
      <c r="P127" s="26"/>
      <c r="Q127" s="26"/>
      <c r="R127" s="26"/>
      <c r="S127" s="26"/>
      <c r="T127" s="26"/>
      <c r="U127" s="26"/>
      <c r="V127" s="26"/>
      <c r="W127" s="26"/>
      <c r="X127" s="26"/>
      <c r="Y127" s="26"/>
      <c r="Z127" s="26"/>
      <c r="AA127" s="26"/>
      <c r="AB127" s="26"/>
    </row>
    <row r="128">
      <c r="A128" s="21" t="s">
        <v>696</v>
      </c>
      <c r="B128" s="22" t="s">
        <v>635</v>
      </c>
      <c r="C128" s="23" t="str">
        <f>IFERROR(__xludf.DUMMYFUNCTION("GOOGLETRANSLATE(B128, ""en"", ""fr"")"),"Utilisé pour exploiter des rochers pour le minerai.")</f>
        <v>Utilisé pour exploiter des rochers pour le minerai.</v>
      </c>
      <c r="D128" s="23" t="str">
        <f>IFERROR(__xludf.DUMMYFUNCTION("GOOGLETRANSLATE(B128, ""en"", ""es"")"),"Solía ​​extraer rocas para mineral.")</f>
        <v>Solía ​​extraer rocas para mineral.</v>
      </c>
      <c r="E128" s="23" t="str">
        <f>IFERROR(__xludf.DUMMYFUNCTION("GOOGLETRANSLATE(B128, ""en"", ""ru"")"),"Используется для добычи камней для руды.")</f>
        <v>Используется для добычи камней для руды.</v>
      </c>
      <c r="F128" s="23" t="str">
        <f>IFERROR(__xludf.DUMMYFUNCTION("GOOGLETRANSLATE(B128, ""en"", ""tr"")"),"Cevher için kayaları kullanırdı.")</f>
        <v>Cevher için kayaları kullanırdı.</v>
      </c>
      <c r="G128" s="23" t="str">
        <f>IFERROR(__xludf.DUMMYFUNCTION("GOOGLETRANSLATE(B128, ""en"", ""pt"")"),"Usado para minerar pedras para minério.")</f>
        <v>Usado para minerar pedras para minério.</v>
      </c>
      <c r="H128" s="24" t="str">
        <f>IFERROR(__xludf.DUMMYFUNCTION("GOOGLETRANSLATE(B128, ""en"", ""de"")"),"Wird verwendet, um Steine ​​für Erz zu abbauen.")</f>
        <v>Wird verwendet, um Steine ​​für Erz zu abbauen.</v>
      </c>
      <c r="I128" s="23" t="str">
        <f>IFERROR(__xludf.DUMMYFUNCTION("GOOGLETRANSLATE(B128, ""en"", ""pl"")"),"Używany do wydobywania skał do rudy.")</f>
        <v>Używany do wydobywania skał do rudy.</v>
      </c>
      <c r="J128" s="25" t="str">
        <f>IFERROR(__xludf.DUMMYFUNCTION("GOOGLETRANSLATE(B128, ""en"", ""zh"")"),"用于开采矿石的岩石。")</f>
        <v>用于开采矿石的岩石。</v>
      </c>
      <c r="K128" s="25" t="str">
        <f>IFERROR(__xludf.DUMMYFUNCTION("GOOGLETRANSLATE(B128, ""en"", ""vi"")"),"Được sử dụng để khai thác đá cho quặng.")</f>
        <v>Được sử dụng để khai thác đá cho quặng.</v>
      </c>
      <c r="L128" s="42" t="str">
        <f>IFERROR(__xludf.DUMMYFUNCTION("GOOGLETRANSLATE(B128, ""en"", ""hr"")"),"Koristio se za minu stijene za rudu.")</f>
        <v>Koristio se za minu stijene za rudu.</v>
      </c>
      <c r="M128" s="26"/>
      <c r="N128" s="26"/>
      <c r="O128" s="26"/>
      <c r="P128" s="26"/>
      <c r="Q128" s="26"/>
      <c r="R128" s="26"/>
      <c r="S128" s="26"/>
      <c r="T128" s="26"/>
      <c r="U128" s="26"/>
      <c r="V128" s="26"/>
      <c r="W128" s="26"/>
      <c r="X128" s="26"/>
      <c r="Y128" s="26"/>
      <c r="Z128" s="26"/>
      <c r="AA128" s="26"/>
      <c r="AB128" s="26"/>
    </row>
    <row r="129">
      <c r="A129" s="21" t="s">
        <v>697</v>
      </c>
      <c r="B129" s="22" t="s">
        <v>698</v>
      </c>
      <c r="C129" s="23" t="str">
        <f>IFERROR(__xludf.DUMMYFUNCTION("GOOGLETRANSLATE(B129, ""en"", ""fr"")"),"Faucille agonite")</f>
        <v>Faucille agonite</v>
      </c>
      <c r="D129" s="23" t="str">
        <f>IFERROR(__xludf.DUMMYFUNCTION("GOOGLETRANSLATE(B129, ""en"", ""es"")"),"Hoz agonita")</f>
        <v>Hoz agonita</v>
      </c>
      <c r="E129" s="23" t="str">
        <f>IFERROR(__xludf.DUMMYFUNCTION("GOOGLETRANSLATE(B129, ""en"", ""ru"")"),"Агонит Серп")</f>
        <v>Агонит Серп</v>
      </c>
      <c r="F129" s="23" t="str">
        <f>IFERROR(__xludf.DUMMYFUNCTION("GOOGLETRANSLATE(B129, ""en"", ""tr"")"),"Acayip orak")</f>
        <v>Acayip orak</v>
      </c>
      <c r="G129" s="23" t="str">
        <f>IFERROR(__xludf.DUMMYFUNCTION("GOOGLETRANSLATE(B129, ""en"", ""pt"")"),"Agonite Fickll")</f>
        <v>Agonite Fickll</v>
      </c>
      <c r="H129" s="24" t="str">
        <f>IFERROR(__xludf.DUMMYFUNCTION("GOOGLETRANSLATE(B129, ""en"", ""de"")"),"Agonite Sichel")</f>
        <v>Agonite Sichel</v>
      </c>
      <c r="I129" s="23" t="str">
        <f>IFERROR(__xludf.DUMMYFUNCTION("GOOGLETRANSLATE(B129, ""en"", ""pl"")"),"Agonite Sickle")</f>
        <v>Agonite Sickle</v>
      </c>
      <c r="J129" s="25" t="str">
        <f>IFERROR(__xludf.DUMMYFUNCTION("GOOGLETRANSLATE(B129, ""en"", ""zh"")"),"激动剂镰刀")</f>
        <v>激动剂镰刀</v>
      </c>
      <c r="K129" s="25" t="str">
        <f>IFERROR(__xludf.DUMMYFUNCTION("GOOGLETRANSLATE(B129, ""en"", ""vi"")"),"Agonite liềm")</f>
        <v>Agonite liềm</v>
      </c>
      <c r="L129" s="42" t="str">
        <f>IFERROR(__xludf.DUMMYFUNCTION("GOOGLETRANSLATE(B129, ""en"", ""hr"")"),"Agonitni srp")</f>
        <v>Agonitni srp</v>
      </c>
      <c r="M129" s="26"/>
      <c r="N129" s="26"/>
      <c r="O129" s="26"/>
      <c r="P129" s="26"/>
      <c r="Q129" s="26"/>
      <c r="R129" s="26"/>
      <c r="S129" s="26"/>
      <c r="T129" s="26"/>
      <c r="U129" s="26"/>
      <c r="V129" s="26"/>
      <c r="W129" s="26"/>
      <c r="X129" s="26"/>
      <c r="Y129" s="26"/>
      <c r="Z129" s="26"/>
      <c r="AA129" s="26"/>
      <c r="AB129" s="26"/>
    </row>
    <row r="130">
      <c r="A130" s="21" t="s">
        <v>699</v>
      </c>
      <c r="B130" s="22" t="s">
        <v>645</v>
      </c>
      <c r="C130" s="23" t="str">
        <f>IFERROR(__xludf.DUMMYFUNCTION("GOOGLETRANSLATE(B130, ""en"", ""fr"")"),"Utilisé pour rassembler des plantes.")</f>
        <v>Utilisé pour rassembler des plantes.</v>
      </c>
      <c r="D130" s="23" t="str">
        <f>IFERROR(__xludf.DUMMYFUNCTION("GOOGLETRANSLATE(B130, ""en"", ""es"")"),"Se usa para recolectar plantas.")</f>
        <v>Se usa para recolectar plantas.</v>
      </c>
      <c r="E130" s="23" t="str">
        <f>IFERROR(__xludf.DUMMYFUNCTION("GOOGLETRANSLATE(B130, ""en"", ""ru"")"),"Используется для сбора растений.")</f>
        <v>Используется для сбора растений.</v>
      </c>
      <c r="F130" s="23" t="str">
        <f>IFERROR(__xludf.DUMMYFUNCTION("GOOGLETRANSLATE(B130, ""en"", ""tr"")"),"Bitkiler toplamak için kullanılır.")</f>
        <v>Bitkiler toplamak için kullanılır.</v>
      </c>
      <c r="G130" s="23" t="str">
        <f>IFERROR(__xludf.DUMMYFUNCTION("GOOGLETRANSLATE(B130, ""en"", ""pt"")"),"Usado para reunir plantas.")</f>
        <v>Usado para reunir plantas.</v>
      </c>
      <c r="H130" s="24" t="str">
        <f>IFERROR(__xludf.DUMMYFUNCTION("GOOGLETRANSLATE(B130, ""en"", ""de"")"),"Verwendet, um Pflanzen zu sammeln.")</f>
        <v>Verwendet, um Pflanzen zu sammeln.</v>
      </c>
      <c r="I130" s="23" t="str">
        <f>IFERROR(__xludf.DUMMYFUNCTION("GOOGLETRANSLATE(B130, ""en"", ""pl"")"),"Używane do zbierania roślin.")</f>
        <v>Używane do zbierania roślin.</v>
      </c>
      <c r="J130" s="25" t="str">
        <f>IFERROR(__xludf.DUMMYFUNCTION("GOOGLETRANSLATE(B130, ""en"", ""zh"")"),"用于收集植物。")</f>
        <v>用于收集植物。</v>
      </c>
      <c r="K130" s="25" t="str">
        <f>IFERROR(__xludf.DUMMYFUNCTION("GOOGLETRANSLATE(B130, ""en"", ""vi"")"),"Được sử dụng để thu thập thực vật.")</f>
        <v>Được sử dụng để thu thập thực vật.</v>
      </c>
      <c r="L130" s="42" t="str">
        <f>IFERROR(__xludf.DUMMYFUNCTION("GOOGLETRANSLATE(B130, ""en"", ""hr"")"),"Koristi se za okupljanje biljaka.")</f>
        <v>Koristi se za okupljanje biljaka.</v>
      </c>
      <c r="M130" s="26"/>
      <c r="N130" s="26"/>
      <c r="O130" s="26"/>
      <c r="P130" s="26"/>
      <c r="Q130" s="26"/>
      <c r="R130" s="26"/>
      <c r="S130" s="26"/>
      <c r="T130" s="26"/>
      <c r="U130" s="26"/>
      <c r="V130" s="26"/>
      <c r="W130" s="26"/>
      <c r="X130" s="26"/>
      <c r="Y130" s="26"/>
      <c r="Z130" s="26"/>
      <c r="AA130" s="26"/>
      <c r="AB130" s="26"/>
    </row>
    <row r="131">
      <c r="A131" s="21" t="s">
        <v>700</v>
      </c>
      <c r="B131" s="22" t="s">
        <v>701</v>
      </c>
      <c r="C131" s="23" t="str">
        <f>IFERROR(__xludf.DUMMYFUNCTION("GOOGLETRANSLATE(B131, ""en"", ""fr"")"),"Flèches d'agonite")</f>
        <v>Flèches d'agonite</v>
      </c>
      <c r="D131" s="23" t="str">
        <f>IFERROR(__xludf.DUMMYFUNCTION("GOOGLETRANSLATE(B131, ""en"", ""es"")"),"Flechas agonitas")</f>
        <v>Flechas agonitas</v>
      </c>
      <c r="E131" s="23" t="str">
        <f>IFERROR(__xludf.DUMMYFUNCTION("GOOGLETRANSLATE(B131, ""en"", ""ru"")"),"Агонитные стрелы")</f>
        <v>Агонитные стрелы</v>
      </c>
      <c r="F131" s="23" t="str">
        <f>IFERROR(__xludf.DUMMYFUNCTION("GOOGLETRANSLATE(B131, ""en"", ""tr"")"),"Agonit okları")</f>
        <v>Agonit okları</v>
      </c>
      <c r="G131" s="23" t="str">
        <f>IFERROR(__xludf.DUMMYFUNCTION("GOOGLETRANSLATE(B131, ""en"", ""pt"")"),"Agonite setas")</f>
        <v>Agonite setas</v>
      </c>
      <c r="H131" s="24" t="str">
        <f>IFERROR(__xludf.DUMMYFUNCTION("GOOGLETRANSLATE(B131, ""en"", ""de"")"),"Agonite -Pfeile")</f>
        <v>Agonite -Pfeile</v>
      </c>
      <c r="I131" s="23" t="str">
        <f>IFERROR(__xludf.DUMMYFUNCTION("GOOGLETRANSLATE(B131, ""en"", ""pl"")"),"Strzałki agonitowe")</f>
        <v>Strzałki agonitowe</v>
      </c>
      <c r="J131" s="25" t="str">
        <f>IFERROR(__xludf.DUMMYFUNCTION("GOOGLETRANSLATE(B131, ""en"", ""zh"")"),"激动剂箭头")</f>
        <v>激动剂箭头</v>
      </c>
      <c r="K131" s="25" t="str">
        <f>IFERROR(__xludf.DUMMYFUNCTION("GOOGLETRANSLATE(B131, ""en"", ""vi"")"),"Mũi tên agonite")</f>
        <v>Mũi tên agonite</v>
      </c>
      <c r="L131" s="42" t="str">
        <f>IFERROR(__xludf.DUMMYFUNCTION("GOOGLETRANSLATE(B131, ""en"", ""hr"")"),"Strelice agonita")</f>
        <v>Strelice agonita</v>
      </c>
      <c r="M131" s="26"/>
      <c r="N131" s="26"/>
      <c r="O131" s="26"/>
      <c r="P131" s="26"/>
      <c r="Q131" s="26"/>
      <c r="R131" s="26"/>
      <c r="S131" s="26"/>
      <c r="T131" s="26"/>
      <c r="U131" s="26"/>
      <c r="V131" s="26"/>
      <c r="W131" s="26"/>
      <c r="X131" s="26"/>
      <c r="Y131" s="26"/>
      <c r="Z131" s="26"/>
      <c r="AA131" s="26"/>
      <c r="AB131" s="26"/>
    </row>
    <row r="132">
      <c r="A132" s="21" t="s">
        <v>702</v>
      </c>
      <c r="B132" s="22" t="s">
        <v>649</v>
      </c>
      <c r="C132" s="23" t="str">
        <f>IFERROR(__xludf.DUMMYFUNCTION("GOOGLETRANSLATE(B132, ""en"", ""fr"")"),"Utilisé comme munitions pour un arc.")</f>
        <v>Utilisé comme munitions pour un arc.</v>
      </c>
      <c r="D132" s="23" t="str">
        <f>IFERROR(__xludf.DUMMYFUNCTION("GOOGLETRANSLATE(B132, ""en"", ""es"")"),"Utilizado como municiones para un arco.")</f>
        <v>Utilizado como municiones para un arco.</v>
      </c>
      <c r="E132" s="23" t="str">
        <f>IFERROR(__xludf.DUMMYFUNCTION("GOOGLETRANSLATE(B132, ""en"", ""ru"")"),"Используется в качестве боеприпасов для лука.")</f>
        <v>Используется в качестве боеприпасов для лука.</v>
      </c>
      <c r="F132" s="23" t="str">
        <f>IFERROR(__xludf.DUMMYFUNCTION("GOOGLETRANSLATE(B132, ""en"", ""tr"")"),"Bir yay için mühimmat olarak kullanılır.")</f>
        <v>Bir yay için mühimmat olarak kullanılır.</v>
      </c>
      <c r="G132" s="23" t="str">
        <f>IFERROR(__xludf.DUMMYFUNCTION("GOOGLETRANSLATE(B132, ""en"", ""pt"")"),"Usado como munição para um arco.")</f>
        <v>Usado como munição para um arco.</v>
      </c>
      <c r="H132" s="24" t="str">
        <f>IFERROR(__xludf.DUMMYFUNCTION("GOOGLETRANSLATE(B132, ""en"", ""de"")"),"Als Munition für einen Bogen verwendet.")</f>
        <v>Als Munition für einen Bogen verwendet.</v>
      </c>
      <c r="I132" s="23" t="str">
        <f>IFERROR(__xludf.DUMMYFUNCTION("GOOGLETRANSLATE(B132, ""en"", ""pl"")"),"Używane jako amunicja do łuku.")</f>
        <v>Używane jako amunicja do łuku.</v>
      </c>
      <c r="J132" s="25" t="str">
        <f>IFERROR(__xludf.DUMMYFUNCTION("GOOGLETRANSLATE(B132, ""en"", ""zh"")"),"用作弓的弹药。")</f>
        <v>用作弓的弹药。</v>
      </c>
      <c r="K132" s="25" t="str">
        <f>IFERROR(__xludf.DUMMYFUNCTION("GOOGLETRANSLATE(B132, ""en"", ""vi"")"),"Được sử dụng làm đạn dược cho một cây cung.")</f>
        <v>Được sử dụng làm đạn dược cho một cây cung.</v>
      </c>
      <c r="L132" s="42" t="str">
        <f>IFERROR(__xludf.DUMMYFUNCTION("GOOGLETRANSLATE(B132, ""en"", ""hr"")"),"Koristi se kao municija za luk.")</f>
        <v>Koristi se kao municija za luk.</v>
      </c>
      <c r="M132" s="26"/>
      <c r="N132" s="26"/>
      <c r="O132" s="26"/>
      <c r="P132" s="26"/>
      <c r="Q132" s="26"/>
      <c r="R132" s="26"/>
      <c r="S132" s="26"/>
      <c r="T132" s="26"/>
      <c r="U132" s="26"/>
      <c r="V132" s="26"/>
      <c r="W132" s="26"/>
      <c r="X132" s="26"/>
      <c r="Y132" s="26"/>
      <c r="Z132" s="26"/>
      <c r="AA132" s="26"/>
      <c r="AB132" s="26"/>
    </row>
    <row r="133">
      <c r="A133" s="21" t="s">
        <v>703</v>
      </c>
      <c r="B133" s="22" t="s">
        <v>704</v>
      </c>
      <c r="C133" s="23" t="str">
        <f>IFERROR(__xludf.DUMMYFUNCTION("GOOGLETRANSLATE(B133, ""en"", ""fr"")"),"Poignard agonite")</f>
        <v>Poignard agonite</v>
      </c>
      <c r="D133" s="23" t="str">
        <f>IFERROR(__xludf.DUMMYFUNCTION("GOOGLETRANSLATE(B133, ""en"", ""es"")"),"Daga agonita")</f>
        <v>Daga agonita</v>
      </c>
      <c r="E133" s="23" t="str">
        <f>IFERROR(__xludf.DUMMYFUNCTION("GOOGLETRANSLATE(B133, ""en"", ""ru"")"),"Агонит кинжал")</f>
        <v>Агонит кинжал</v>
      </c>
      <c r="F133" s="23" t="str">
        <f>IFERROR(__xludf.DUMMYFUNCTION("GOOGLETRANSLATE(B133, ""en"", ""tr"")"),"Agonit hançer")</f>
        <v>Agonit hançer</v>
      </c>
      <c r="G133" s="23" t="str">
        <f>IFERROR(__xludf.DUMMYFUNCTION("GOOGLETRANSLATE(B133, ""en"", ""pt"")"),"Dagger agonita")</f>
        <v>Dagger agonita</v>
      </c>
      <c r="H133" s="24" t="str">
        <f>IFERROR(__xludf.DUMMYFUNCTION("GOOGLETRANSLATE(B133, ""en"", ""de"")"),"Agonite Dolch")</f>
        <v>Agonite Dolch</v>
      </c>
      <c r="I133" s="23" t="str">
        <f>IFERROR(__xludf.DUMMYFUNCTION("GOOGLETRANSLATE(B133, ""en"", ""pl"")"),"Agonite Dagger")</f>
        <v>Agonite Dagger</v>
      </c>
      <c r="J133" s="25" t="str">
        <f>IFERROR(__xludf.DUMMYFUNCTION("GOOGLETRANSLATE(B133, ""en"", ""zh"")"),"激动匕首")</f>
        <v>激动匕首</v>
      </c>
      <c r="K133" s="25" t="str">
        <f>IFERROR(__xludf.DUMMYFUNCTION("GOOGLETRANSLATE(B133, ""en"", ""vi"")"),"Agonite dao găm")</f>
        <v>Agonite dao găm</v>
      </c>
      <c r="L133" s="42" t="str">
        <f>IFERROR(__xludf.DUMMYFUNCTION("GOOGLETRANSLATE(B133, ""en"", ""hr"")"),"Bodež")</f>
        <v>Bodež</v>
      </c>
      <c r="M133" s="26"/>
      <c r="N133" s="26"/>
      <c r="O133" s="26"/>
      <c r="P133" s="26"/>
      <c r="Q133" s="26"/>
      <c r="R133" s="26"/>
      <c r="S133" s="26"/>
      <c r="T133" s="26"/>
      <c r="U133" s="26"/>
      <c r="V133" s="26"/>
      <c r="W133" s="26"/>
      <c r="X133" s="26"/>
      <c r="Y133" s="26"/>
      <c r="Z133" s="26"/>
      <c r="AA133" s="26"/>
      <c r="AB133" s="26"/>
    </row>
    <row r="134">
      <c r="A134" s="21" t="s">
        <v>705</v>
      </c>
      <c r="B134" s="22" t="s">
        <v>653</v>
      </c>
      <c r="C134" s="23" t="str">
        <f>IFERROR(__xludf.DUMMYFUNCTION("GOOGLETRANSLATE(B134, ""en"", ""fr"")"),"Une arme de mêlée à courte portée. Infliger des dégâts bonus lorsqu'il frappe par derrière.")</f>
        <v>Une arme de mêlée à courte portée. Infliger des dégâts bonus lorsqu'il frappe par derrière.</v>
      </c>
      <c r="D134" s="23" t="str">
        <f>IFERROR(__xludf.DUMMYFUNCTION("GOOGLETRANSLATE(B134, ""en"", ""es"")"),"Un arma cuerpo a cuerpo de corto alcance. Influye daños adicionales cuando golpea por detrás.")</f>
        <v>Un arma cuerpo a cuerpo de corto alcance. Influye daños adicionales cuando golpea por detrás.</v>
      </c>
      <c r="E134" s="23" t="str">
        <f>IFERROR(__xludf.DUMMYFUNCTION("GOOGLETRANSLATE(B134, ""en"", ""ru"")"),"Короткое расстояние оружия ближнего боя. Наносит бонусный урон, когда он попадает сзади.")</f>
        <v>Короткое расстояние оружия ближнего боя. Наносит бонусный урон, когда он попадает сзади.</v>
      </c>
      <c r="F134" s="23" t="str">
        <f>IFERROR(__xludf.DUMMYFUNCTION("GOOGLETRANSLATE(B134, ""en"", ""tr"")"),"Kısa menzilli bir yakın dövüş silahı. Arkadan vurduğunda bonus hasarı verir.")</f>
        <v>Kısa menzilli bir yakın dövüş silahı. Arkadan vurduğunda bonus hasarı verir.</v>
      </c>
      <c r="G134" s="23" t="str">
        <f>IFERROR(__xludf.DUMMYFUNCTION("GOOGLETRANSLATE(B134, ""en"", ""pt"")"),"Uma arma corpo a corpo de curto alcance. Causa dano de bônus quando atinge por trás.")</f>
        <v>Uma arma corpo a corpo de curto alcance. Causa dano de bônus quando atinge por trás.</v>
      </c>
      <c r="H134" s="24" t="str">
        <f>IFERROR(__xludf.DUMMYFUNCTION("GOOGLETRANSLATE(B134, ""en"", ""de"")"),"Eine Kurzstrecke -Nahkampfwaffe. Fördert Bonusschaden, wenn es von hinten trifft.")</f>
        <v>Eine Kurzstrecke -Nahkampfwaffe. Fördert Bonusschaden, wenn es von hinten trifft.</v>
      </c>
      <c r="I134" s="23" t="str">
        <f>IFERROR(__xludf.DUMMYFUNCTION("GOOGLETRANSLATE(B134, ""en"", ""pl"")"),"Broń w zwarciu krótkiego zasięgu. Zadaje obrażenia bonusowe, gdy uderza od tyłu.")</f>
        <v>Broń w zwarciu krótkiego zasięgu. Zadaje obrażenia bonusowe, gdy uderza od tyłu.</v>
      </c>
      <c r="J134" s="25" t="str">
        <f>IFERROR(__xludf.DUMMYFUNCTION("GOOGLETRANSLATE(B134, ""en"", ""zh"")"),"短距离近战武器。从后面击中奖金损失。")</f>
        <v>短距离近战武器。从后面击中奖金损失。</v>
      </c>
      <c r="K134" s="25" t="str">
        <f>IFERROR(__xludf.DUMMYFUNCTION("GOOGLETRANSLATE(B134, ""en"", ""vi"")"),"Một vũ khí cận chiến phạm vi ngắn. Ưu đãi thiệt hại tiền thưởng khi nó đánh từ phía sau.")</f>
        <v>Một vũ khí cận chiến phạm vi ngắn. Ưu đãi thiệt hại tiền thưởng khi nó đánh từ phía sau.</v>
      </c>
      <c r="L134" s="42" t="str">
        <f>IFERROR(__xludf.DUMMYFUNCTION("GOOGLETRANSLATE(B134, ""en"", ""hr"")"),"Oružje za melee kratkog dometa. Nanosi štetu od bonusa kada pogodi odostraga.")</f>
        <v>Oružje za melee kratkog dometa. Nanosi štetu od bonusa kada pogodi odostraga.</v>
      </c>
      <c r="M134" s="26"/>
      <c r="N134" s="26"/>
      <c r="O134" s="26"/>
      <c r="P134" s="26"/>
      <c r="Q134" s="26"/>
      <c r="R134" s="26"/>
      <c r="S134" s="26"/>
      <c r="T134" s="26"/>
      <c r="U134" s="26"/>
      <c r="V134" s="26"/>
      <c r="W134" s="26"/>
      <c r="X134" s="26"/>
      <c r="Y134" s="26"/>
      <c r="Z134" s="26"/>
      <c r="AA134" s="26"/>
      <c r="AB134" s="26"/>
    </row>
    <row r="135">
      <c r="A135" s="21" t="s">
        <v>706</v>
      </c>
      <c r="B135" s="22" t="s">
        <v>707</v>
      </c>
      <c r="C135" s="23" t="str">
        <f>IFERROR(__xludf.DUMMYFUNCTION("GOOGLETRANSLATE(B135, ""en"", ""fr"")"),"Épée agonite")</f>
        <v>Épée agonite</v>
      </c>
      <c r="D135" s="23" t="str">
        <f>IFERROR(__xludf.DUMMYFUNCTION("GOOGLETRANSLATE(B135, ""en"", ""es"")"),"Espada agonita")</f>
        <v>Espada agonita</v>
      </c>
      <c r="E135" s="23" t="str">
        <f>IFERROR(__xludf.DUMMYFUNCTION("GOOGLETRANSLATE(B135, ""en"", ""ru"")"),"Агонитный меч")</f>
        <v>Агонитный меч</v>
      </c>
      <c r="F135" s="23" t="str">
        <f>IFERROR(__xludf.DUMMYFUNCTION("GOOGLETRANSLATE(B135, ""en"", ""tr"")"),"Agonit Kılıç")</f>
        <v>Agonit Kılıç</v>
      </c>
      <c r="G135" s="23" t="str">
        <f>IFERROR(__xludf.DUMMYFUNCTION("GOOGLETRANSLATE(B135, ""en"", ""pt"")"),"Espada agonita")</f>
        <v>Espada agonita</v>
      </c>
      <c r="H135" s="24" t="str">
        <f>IFERROR(__xludf.DUMMYFUNCTION("GOOGLETRANSLATE(B135, ""en"", ""de"")"),"Agonitschwert")</f>
        <v>Agonitschwert</v>
      </c>
      <c r="I135" s="23" t="str">
        <f>IFERROR(__xludf.DUMMYFUNCTION("GOOGLETRANSLATE(B135, ""en"", ""pl"")"),"Miecz agonitu")</f>
        <v>Miecz agonitu</v>
      </c>
      <c r="J135" s="25" t="str">
        <f>IFERROR(__xludf.DUMMYFUNCTION("GOOGLETRANSLATE(B135, ""en"", ""zh"")"),"激动剑")</f>
        <v>激动剑</v>
      </c>
      <c r="K135" s="25" t="str">
        <f>IFERROR(__xludf.DUMMYFUNCTION("GOOGLETRANSLATE(B135, ""en"", ""vi"")"),"Thanh kiếm agonite")</f>
        <v>Thanh kiếm agonite</v>
      </c>
      <c r="L135" s="42" t="str">
        <f>IFERROR(__xludf.DUMMYFUNCTION("GOOGLETRANSLATE(B135, ""en"", ""hr"")"),"Mač agonita")</f>
        <v>Mač agonita</v>
      </c>
      <c r="M135" s="26"/>
      <c r="N135" s="26"/>
      <c r="O135" s="26"/>
      <c r="P135" s="26"/>
      <c r="Q135" s="26"/>
      <c r="R135" s="26"/>
      <c r="S135" s="26"/>
      <c r="T135" s="26"/>
      <c r="U135" s="26"/>
      <c r="V135" s="26"/>
      <c r="W135" s="26"/>
      <c r="X135" s="26"/>
      <c r="Y135" s="26"/>
      <c r="Z135" s="26"/>
      <c r="AA135" s="26"/>
      <c r="AB135" s="26"/>
    </row>
    <row r="136">
      <c r="A136" s="21" t="s">
        <v>708</v>
      </c>
      <c r="B136" s="22" t="s">
        <v>657</v>
      </c>
      <c r="C136" s="23" t="str">
        <f>IFERROR(__xludf.DUMMYFUNCTION("GOOGLETRANSLATE(B136, ""en"", ""fr"")"),"Arme de mêlée. Utilisé pour attaquer une courte distance.")</f>
        <v>Arme de mêlée. Utilisé pour attaquer une courte distance.</v>
      </c>
      <c r="D136" s="23" t="str">
        <f>IFERROR(__xludf.DUMMYFUNCTION("GOOGLETRANSLATE(B136, ""en"", ""es"")"),"Arma cuerpo a cuerpo. Solía ​​atacar a una corta distancia de distancia.")</f>
        <v>Arma cuerpo a cuerpo. Solía ​​atacar a una corta distancia de distancia.</v>
      </c>
      <c r="E136" s="23" t="str">
        <f>IFERROR(__xludf.DUMMYFUNCTION("GOOGLETRANSLATE(B136, ""en"", ""ru"")"),"Оружие ближнего боя. Используется для атаки на короткое расстояние.")</f>
        <v>Оружие ближнего боя. Используется для атаки на короткое расстояние.</v>
      </c>
      <c r="F136" s="23" t="str">
        <f>IFERROR(__xludf.DUMMYFUNCTION("GOOGLETRANSLATE(B136, ""en"", ""tr"")"),"Yakın dövüş silahı. Kısa bir mesafeye saldırmak için kullanılır.")</f>
        <v>Yakın dövüş silahı. Kısa bir mesafeye saldırmak için kullanılır.</v>
      </c>
      <c r="G136" s="23" t="str">
        <f>IFERROR(__xludf.DUMMYFUNCTION("GOOGLETRANSLATE(B136, ""en"", ""pt"")"),"Arma branca. Usado para atacar a uma curta distância.")</f>
        <v>Arma branca. Usado para atacar a uma curta distância.</v>
      </c>
      <c r="H136" s="24" t="str">
        <f>IFERROR(__xludf.DUMMYFUNCTION("GOOGLETRANSLATE(B136, ""en"", ""de"")"),"Nahkampfwaffe. Wird verwendet, um eine kurze Strecke entfernt anzugreifen.")</f>
        <v>Nahkampfwaffe. Wird verwendet, um eine kurze Strecke entfernt anzugreifen.</v>
      </c>
      <c r="I136" s="23" t="str">
        <f>IFERROR(__xludf.DUMMYFUNCTION("GOOGLETRANSLATE(B136, ""en"", ""pl"")"),"Broń biała. Używany do ataku w niewielkiej odległości.")</f>
        <v>Broń biała. Używany do ataku w niewielkiej odległości.</v>
      </c>
      <c r="J136" s="25" t="str">
        <f>IFERROR(__xludf.DUMMYFUNCTION("GOOGLETRANSLATE(B136, ""en"", ""zh"")"),"近战武器。用来攻击很短的距离。")</f>
        <v>近战武器。用来攻击很短的距离。</v>
      </c>
      <c r="K136" s="25" t="str">
        <f>IFERROR(__xludf.DUMMYFUNCTION("GOOGLETRANSLATE(B136, ""en"", ""vi"")"),"Vũ khí cận chiến. Được sử dụng để tấn công một khoảng cách ngắn.")</f>
        <v>Vũ khí cận chiến. Được sử dụng để tấn công một khoảng cách ngắn.</v>
      </c>
      <c r="L136" s="42" t="str">
        <f>IFERROR(__xludf.DUMMYFUNCTION("GOOGLETRANSLATE(B136, ""en"", ""hr"")"),"Oružje od melee. Koristio za napad na kratku udaljenost.")</f>
        <v>Oružje od melee. Koristio za napad na kratku udaljenost.</v>
      </c>
      <c r="M136" s="26"/>
      <c r="N136" s="26"/>
      <c r="O136" s="26"/>
      <c r="P136" s="26"/>
      <c r="Q136" s="26"/>
      <c r="R136" s="26"/>
      <c r="S136" s="26"/>
      <c r="T136" s="26"/>
      <c r="U136" s="26"/>
      <c r="V136" s="26"/>
      <c r="W136" s="26"/>
      <c r="X136" s="26"/>
      <c r="Y136" s="26"/>
      <c r="Z136" s="26"/>
      <c r="AA136" s="26"/>
      <c r="AB136" s="26"/>
    </row>
    <row r="137">
      <c r="A137" s="21" t="s">
        <v>709</v>
      </c>
      <c r="B137" s="22" t="s">
        <v>710</v>
      </c>
      <c r="C137" s="23" t="str">
        <f>IFERROR(__xludf.DUMMYFUNCTION("GOOGLETRANSLATE(B137, ""en"", ""fr"")"),"Marteau agonite")</f>
        <v>Marteau agonite</v>
      </c>
      <c r="D137" s="23" t="str">
        <f>IFERROR(__xludf.DUMMYFUNCTION("GOOGLETRANSLATE(B137, ""en"", ""es"")"),"Martillo agonita")</f>
        <v>Martillo agonita</v>
      </c>
      <c r="E137" s="23" t="str">
        <f>IFERROR(__xludf.DUMMYFUNCTION("GOOGLETRANSLATE(B137, ""en"", ""ru"")"),"Агонитный молот")</f>
        <v>Агонитный молот</v>
      </c>
      <c r="F137" s="23" t="str">
        <f>IFERROR(__xludf.DUMMYFUNCTION("GOOGLETRANSLATE(B137, ""en"", ""tr"")"),"Agonit Çekiç")</f>
        <v>Agonit Çekiç</v>
      </c>
      <c r="G137" s="23" t="str">
        <f>IFERROR(__xludf.DUMMYFUNCTION("GOOGLETRANSLATE(B137, ""en"", ""pt"")"),"Martelo de agonita")</f>
        <v>Martelo de agonita</v>
      </c>
      <c r="H137" s="24" t="str">
        <f>IFERROR(__xludf.DUMMYFUNCTION("GOOGLETRANSLATE(B137, ""en"", ""de"")"),"Agonite Hammer")</f>
        <v>Agonite Hammer</v>
      </c>
      <c r="I137" s="23" t="str">
        <f>IFERROR(__xludf.DUMMYFUNCTION("GOOGLETRANSLATE(B137, ""en"", ""pl"")"),"Agonite młot")</f>
        <v>Agonite młot</v>
      </c>
      <c r="J137" s="25" t="str">
        <f>IFERROR(__xludf.DUMMYFUNCTION("GOOGLETRANSLATE(B137, ""en"", ""zh"")"),"激动锤")</f>
        <v>激动锤</v>
      </c>
      <c r="K137" s="25" t="str">
        <f>IFERROR(__xludf.DUMMYFUNCTION("GOOGLETRANSLATE(B137, ""en"", ""vi"")"),"Búa agonite")</f>
        <v>Búa agonite</v>
      </c>
      <c r="L137" s="42" t="str">
        <f>IFERROR(__xludf.DUMMYFUNCTION("GOOGLETRANSLATE(B137, ""en"", ""hr"")"),"Agonitni čekić")</f>
        <v>Agonitni čekić</v>
      </c>
      <c r="M137" s="26"/>
      <c r="N137" s="26"/>
      <c r="O137" s="26"/>
      <c r="P137" s="26"/>
      <c r="Q137" s="26"/>
      <c r="R137" s="26"/>
      <c r="S137" s="26"/>
      <c r="T137" s="26"/>
      <c r="U137" s="26"/>
      <c r="V137" s="26"/>
      <c r="W137" s="26"/>
      <c r="X137" s="26"/>
      <c r="Y137" s="26"/>
      <c r="Z137" s="26"/>
      <c r="AA137" s="26"/>
      <c r="AB137" s="26"/>
    </row>
    <row r="138">
      <c r="A138" s="21" t="s">
        <v>711</v>
      </c>
      <c r="B138" s="22" t="s">
        <v>661</v>
      </c>
      <c r="C138" s="23" t="str">
        <f>IFERROR(__xludf.DUMMYFUNCTION("GOOGLETRANSLATE(B138, ""en"", ""fr"")"),"Arme de mêlée. Repousse les choses un espace quand il frappe.")</f>
        <v>Arme de mêlée. Repousse les choses un espace quand il frappe.</v>
      </c>
      <c r="D138" s="23" t="str">
        <f>IFERROR(__xludf.DUMMYFUNCTION("GOOGLETRANSLATE(B138, ""en"", ""es"")"),"Arma cuerpo a cuerpo. Empuja las cosas un espacio cuando golpea.")</f>
        <v>Arma cuerpo a cuerpo. Empuja las cosas un espacio cuando golpea.</v>
      </c>
      <c r="E138" s="23" t="str">
        <f>IFERROR(__xludf.DUMMYFUNCTION("GOOGLETRANSLATE(B138, ""en"", ""ru"")"),"Оружие ближнего боя. Отталкивает вещи на одно пространство, когда он попадает.")</f>
        <v>Оружие ближнего боя. Отталкивает вещи на одно пространство, когда он попадает.</v>
      </c>
      <c r="F138" s="23" t="str">
        <f>IFERROR(__xludf.DUMMYFUNCTION("GOOGLETRANSLATE(B138, ""en"", ""tr"")"),"Yakın dövüş silahı. Bir şeyleri vurduğunda bir alanı geri iter.")</f>
        <v>Yakın dövüş silahı. Bir şeyleri vurduğunda bir alanı geri iter.</v>
      </c>
      <c r="G138" s="23" t="str">
        <f>IFERROR(__xludf.DUMMYFUNCTION("GOOGLETRANSLATE(B138, ""en"", ""pt"")"),"Arma branca. Empurra as coisas de volta um espaço quando atinge.")</f>
        <v>Arma branca. Empurra as coisas de volta um espaço quando atinge.</v>
      </c>
      <c r="H138" s="24" t="str">
        <f>IFERROR(__xludf.DUMMYFUNCTION("GOOGLETRANSLATE(B138, ""en"", ""de"")"),"Nahkampfwaffe. Drückt die Dinge einen Raum zurück, wenn es trifft.")</f>
        <v>Nahkampfwaffe. Drückt die Dinge einen Raum zurück, wenn es trifft.</v>
      </c>
      <c r="I138" s="23" t="str">
        <f>IFERROR(__xludf.DUMMYFUNCTION("GOOGLETRANSLATE(B138, ""en"", ""pl"")"),"Broń biała. Odsuwa rzeczy do jednego miejsca, gdy uderza.")</f>
        <v>Broń biała. Odsuwa rzeczy do jednego miejsca, gdy uderza.</v>
      </c>
      <c r="J138" s="25" t="str">
        <f>IFERROR(__xludf.DUMMYFUNCTION("GOOGLETRANSLATE(B138, ""en"", ""zh"")"),"近战武器。撞击时将事物推回一个空间。")</f>
        <v>近战武器。撞击时将事物推回一个空间。</v>
      </c>
      <c r="K138" s="25" t="str">
        <f>IFERROR(__xludf.DUMMYFUNCTION("GOOGLETRANSLATE(B138, ""en"", ""vi"")"),"Vũ khí cận chiến. Đẩy mọi thứ trở lại một không gian khi nó chạm vào.")</f>
        <v>Vũ khí cận chiến. Đẩy mọi thứ trở lại một không gian khi nó chạm vào.</v>
      </c>
      <c r="L138" s="42" t="str">
        <f>IFERROR(__xludf.DUMMYFUNCTION("GOOGLETRANSLATE(B138, ""en"", ""hr"")"),"Oružje od melee. Gura stvari natrag jedan prostor kad udari.")</f>
        <v>Oružje od melee. Gura stvari natrag jedan prostor kad udari.</v>
      </c>
      <c r="M138" s="26"/>
      <c r="N138" s="26"/>
      <c r="O138" s="26"/>
      <c r="P138" s="26"/>
      <c r="Q138" s="26"/>
      <c r="R138" s="26"/>
      <c r="S138" s="26"/>
      <c r="T138" s="26"/>
      <c r="U138" s="26"/>
      <c r="V138" s="26"/>
      <c r="W138" s="26"/>
      <c r="X138" s="26"/>
      <c r="Y138" s="26"/>
      <c r="Z138" s="26"/>
      <c r="AA138" s="26"/>
      <c r="AB138" s="26"/>
    </row>
    <row r="139">
      <c r="A139" s="21" t="s">
        <v>712</v>
      </c>
      <c r="B139" s="22" t="s">
        <v>713</v>
      </c>
      <c r="C139" s="23" t="str">
        <f>IFERROR(__xludf.DUMMYFUNCTION("GOOGLETRANSLATE(B139, ""en"", ""fr"")"),"Armure agonite")</f>
        <v>Armure agonite</v>
      </c>
      <c r="D139" s="23" t="str">
        <f>IFERROR(__xludf.DUMMYFUNCTION("GOOGLETRANSLATE(B139, ""en"", ""es"")"),"Armadura agonita")</f>
        <v>Armadura agonita</v>
      </c>
      <c r="E139" s="23" t="str">
        <f>IFERROR(__xludf.DUMMYFUNCTION("GOOGLETRANSLATE(B139, ""en"", ""ru"")"),"Агонит броня")</f>
        <v>Агонит броня</v>
      </c>
      <c r="F139" s="23" t="str">
        <f>IFERROR(__xludf.DUMMYFUNCTION("GOOGLETRANSLATE(B139, ""en"", ""tr"")"),"Agonit zırhı")</f>
        <v>Agonit zırhı</v>
      </c>
      <c r="G139" s="23" t="str">
        <f>IFERROR(__xludf.DUMMYFUNCTION("GOOGLETRANSLATE(B139, ""en"", ""pt"")"),"Armadura de agonita")</f>
        <v>Armadura de agonita</v>
      </c>
      <c r="H139" s="24" t="str">
        <f>IFERROR(__xludf.DUMMYFUNCTION("GOOGLETRANSLATE(B139, ""en"", ""de"")"),"Agonite -Rüstung")</f>
        <v>Agonite -Rüstung</v>
      </c>
      <c r="I139" s="23" t="str">
        <f>IFERROR(__xludf.DUMMYFUNCTION("GOOGLETRANSLATE(B139, ""en"", ""pl"")"),"Agonite zbroja")</f>
        <v>Agonite zbroja</v>
      </c>
      <c r="J139" s="25" t="str">
        <f>IFERROR(__xludf.DUMMYFUNCTION("GOOGLETRANSLATE(B139, ""en"", ""zh"")"),"激动剂盔甲")</f>
        <v>激动剂盔甲</v>
      </c>
      <c r="K139" s="25" t="str">
        <f>IFERROR(__xludf.DUMMYFUNCTION("GOOGLETRANSLATE(B139, ""en"", ""vi"")"),"Áo giáp Agonite")</f>
        <v>Áo giáp Agonite</v>
      </c>
      <c r="L139" s="42" t="str">
        <f>IFERROR(__xludf.DUMMYFUNCTION("GOOGLETRANSLATE(B139, ""en"", ""hr"")"),"Agonitni oklop")</f>
        <v>Agonitni oklop</v>
      </c>
      <c r="M139" s="26"/>
      <c r="N139" s="26"/>
      <c r="O139" s="26"/>
      <c r="P139" s="26"/>
      <c r="Q139" s="26"/>
      <c r="R139" s="26"/>
      <c r="S139" s="26"/>
      <c r="T139" s="26"/>
      <c r="U139" s="26"/>
      <c r="V139" s="26"/>
      <c r="W139" s="26"/>
      <c r="X139" s="26"/>
      <c r="Y139" s="26"/>
      <c r="Z139" s="26"/>
      <c r="AA139" s="26"/>
      <c r="AB139" s="26"/>
    </row>
    <row r="140">
      <c r="A140" s="21" t="s">
        <v>714</v>
      </c>
      <c r="B140" s="22" t="s">
        <v>715</v>
      </c>
      <c r="C140" s="23" t="str">
        <f>IFERROR(__xludf.DUMMYFUNCTION("GOOGLETRANSLATE(B140, ""en"", ""fr"")"),"Ça a l'air dangereux! Augmente votre statistique de mêlée pendant que vous êtes porté.")</f>
        <v>Ça a l'air dangereux! Augmente votre statistique de mêlée pendant que vous êtes porté.</v>
      </c>
      <c r="D140" s="23" t="str">
        <f>IFERROR(__xludf.DUMMYFUNCTION("GOOGLETRANSLATE(B140, ""en"", ""es"")"),"¡Parece peligroso! Aumenta tu estadística cuerpo a cuerpo mientras se usa.")</f>
        <v>¡Parece peligroso! Aumenta tu estadística cuerpo a cuerpo mientras se usa.</v>
      </c>
      <c r="E140" s="23" t="str">
        <f>IFERROR(__xludf.DUMMYFUNCTION("GOOGLETRANSLATE(B140, ""en"", ""ru"")"),"Выглядит опасно! Увеличивает статистику ближнего боя во время ношения.")</f>
        <v>Выглядит опасно! Увеличивает статистику ближнего боя во время ношения.</v>
      </c>
      <c r="F140" s="23" t="str">
        <f>IFERROR(__xludf.DUMMYFUNCTION("GOOGLETRANSLATE(B140, ""en"", ""tr"")"),"Tehlikeli görünüyor! Yıpranmışken yakın dövüş statınızı artırır.")</f>
        <v>Tehlikeli görünüyor! Yıpranmışken yakın dövüş statınızı artırır.</v>
      </c>
      <c r="G140" s="23" t="str">
        <f>IFERROR(__xludf.DUMMYFUNCTION("GOOGLETRANSLATE(B140, ""en"", ""pt"")"),"Parece perigoso! Aumenta sua estatística corpo a corpo enquanto usava.")</f>
        <v>Parece perigoso! Aumenta sua estatística corpo a corpo enquanto usava.</v>
      </c>
      <c r="H140" s="24" t="str">
        <f>IFERROR(__xludf.DUMMYFUNCTION("GOOGLETRANSLATE(B140, ""en"", ""de"")"),"Sieht gefährlich aus! Erhöht Ihren Nahkampfstat, während Sie getragen werden.")</f>
        <v>Sieht gefährlich aus! Erhöht Ihren Nahkampfstat, während Sie getragen werden.</v>
      </c>
      <c r="I140" s="23" t="str">
        <f>IFERROR(__xludf.DUMMYFUNCTION("GOOGLETRANSLATE(B140, ""en"", ""pl"")"),"Wygląda niebezpiecznie! Zwiększa wręcz w zwarciu podczas noszenia.")</f>
        <v>Wygląda niebezpiecznie! Zwiększa wręcz w zwarciu podczas noszenia.</v>
      </c>
      <c r="J140" s="25" t="str">
        <f>IFERROR(__xludf.DUMMYFUNCTION("GOOGLETRANSLATE(B140, ""en"", ""zh"")"),"看起来很危险！磨损时会增加近战统计数据。")</f>
        <v>看起来很危险！磨损时会增加近战统计数据。</v>
      </c>
      <c r="K140" s="25" t="str">
        <f>IFERROR(__xludf.DUMMYFUNCTION("GOOGLETRANSLATE(B140, ""en"", ""vi"")"),"Trông nguy hiểm! Tăng chỉ số cận chiến của bạn trong khi bị mòn.")</f>
        <v>Trông nguy hiểm! Tăng chỉ số cận chiến của bạn trong khi bị mòn.</v>
      </c>
      <c r="L140" s="42" t="str">
        <f>IFERROR(__xludf.DUMMYFUNCTION("GOOGLETRANSLATE(B140, ""en"", ""hr"")"),"Izgleda opasno! Povećava svoj stat u melee dok se nosi.")</f>
        <v>Izgleda opasno! Povećava svoj stat u melee dok se nosi.</v>
      </c>
      <c r="M140" s="26"/>
      <c r="N140" s="26"/>
      <c r="O140" s="26"/>
      <c r="P140" s="26"/>
      <c r="Q140" s="26"/>
      <c r="R140" s="26"/>
      <c r="S140" s="26"/>
      <c r="T140" s="26"/>
      <c r="U140" s="26"/>
      <c r="V140" s="26"/>
      <c r="W140" s="26"/>
      <c r="X140" s="26"/>
      <c r="Y140" s="26"/>
      <c r="Z140" s="26"/>
      <c r="AA140" s="26"/>
      <c r="AB140" s="26"/>
    </row>
    <row r="141">
      <c r="A141" s="21" t="s">
        <v>716</v>
      </c>
      <c r="B141" s="22" t="s">
        <v>717</v>
      </c>
      <c r="C141" s="23" t="str">
        <f>IFERROR(__xludf.DUMMYFUNCTION("GOOGLETRANSLATE(B141, ""en"", ""fr"")"),"Noctis hachet")</f>
        <v>Noctis hachet</v>
      </c>
      <c r="D141" s="23" t="str">
        <f>IFERROR(__xludf.DUMMYFUNCTION("GOOGLETRANSLATE(B141, ""en"", ""es"")"),"Noctis hacha")</f>
        <v>Noctis hacha</v>
      </c>
      <c r="E141" s="23" t="str">
        <f>IFERROR(__xludf.DUMMYFUNCTION("GOOGLETRANSLATE(B141, ""en"", ""ru"")"),"НОКТИС ХАТЕРЕТ")</f>
        <v>НОКТИС ХАТЕРЕТ</v>
      </c>
      <c r="F141" s="23" t="str">
        <f>IFERROR(__xludf.DUMMYFUNCTION("GOOGLETRANSLATE(B141, ""en"", ""tr"")"),"Noctis balta")</f>
        <v>Noctis balta</v>
      </c>
      <c r="G141" s="23" t="str">
        <f>IFERROR(__xludf.DUMMYFUNCTION("GOOGLETRANSLATE(B141, ""en"", ""pt"")"),"Noctis Hatchet")</f>
        <v>Noctis Hatchet</v>
      </c>
      <c r="H141" s="24" t="str">
        <f>IFERROR(__xludf.DUMMYFUNCTION("GOOGLETRANSLATE(B141, ""en"", ""de"")"),"Noctis Hatchet")</f>
        <v>Noctis Hatchet</v>
      </c>
      <c r="I141" s="23" t="str">
        <f>IFERROR(__xludf.DUMMYFUNCTION("GOOGLETRANSLATE(B141, ""en"", ""pl"")"),"Noctis Hatchet")</f>
        <v>Noctis Hatchet</v>
      </c>
      <c r="J141" s="25" t="str">
        <f>IFERROR(__xludf.DUMMYFUNCTION("GOOGLETRANSLATE(B141, ""en"", ""zh"")"),"Noctis斧头")</f>
        <v>Noctis斧头</v>
      </c>
      <c r="K141" s="25" t="str">
        <f>IFERROR(__xludf.DUMMYFUNCTION("GOOGLETRANSLATE(B141, ""en"", ""vi"")"),"Noctis rìu")</f>
        <v>Noctis rìu</v>
      </c>
      <c r="L141" s="42" t="str">
        <f>IFERROR(__xludf.DUMMYFUNCTION("GOOGLETRANSLATE(B141, ""en"", ""hr"")"),"Noctis hatchet")</f>
        <v>Noctis hatchet</v>
      </c>
      <c r="M141" s="26"/>
      <c r="N141" s="26"/>
      <c r="O141" s="26"/>
      <c r="P141" s="26"/>
      <c r="Q141" s="26"/>
      <c r="R141" s="26"/>
      <c r="S141" s="26"/>
      <c r="T141" s="26"/>
      <c r="U141" s="26"/>
      <c r="V141" s="26"/>
      <c r="W141" s="26"/>
      <c r="X141" s="26"/>
      <c r="Y141" s="26"/>
      <c r="Z141" s="26"/>
      <c r="AA141" s="26"/>
      <c r="AB141" s="26"/>
    </row>
    <row r="142">
      <c r="A142" s="21" t="s">
        <v>718</v>
      </c>
      <c r="B142" s="22" t="s">
        <v>631</v>
      </c>
      <c r="C142" s="23" t="str">
        <f>IFERROR(__xludf.DUMMYFUNCTION("GOOGLETRANSLATE(B142, ""en"", ""fr"")"),"Utilisé pour couper les arbres pour le bois.")</f>
        <v>Utilisé pour couper les arbres pour le bois.</v>
      </c>
      <c r="D142" s="23" t="str">
        <f>IFERROR(__xludf.DUMMYFUNCTION("GOOGLETRANSLATE(B142, ""en"", ""es"")"),"Solía ​​cortar árboles para madera.")</f>
        <v>Solía ​​cortar árboles para madera.</v>
      </c>
      <c r="E142" s="23" t="str">
        <f>IFERROR(__xludf.DUMMYFUNCTION("GOOGLETRANSLATE(B142, ""en"", ""ru"")"),"Используется для рубки деревьев для дерева.")</f>
        <v>Используется для рубки деревьев для дерева.</v>
      </c>
      <c r="F142" s="23" t="str">
        <f>IFERROR(__xludf.DUMMYFUNCTION("GOOGLETRANSLATE(B142, ""en"", ""tr"")"),"Ahşap için ağaçları kesmek için kullanılır.")</f>
        <v>Ahşap için ağaçları kesmek için kullanılır.</v>
      </c>
      <c r="G142" s="23" t="str">
        <f>IFERROR(__xludf.DUMMYFUNCTION("GOOGLETRANSLATE(B142, ""en"", ""pt"")"),"Usado para cortar árvores para madeira.")</f>
        <v>Usado para cortar árvores para madeira.</v>
      </c>
      <c r="H142" s="24" t="str">
        <f>IFERROR(__xludf.DUMMYFUNCTION("GOOGLETRANSLATE(B142, ""en"", ""de"")"),"Verwendet, um Bäume für Holz abzuhacken.")</f>
        <v>Verwendet, um Bäume für Holz abzuhacken.</v>
      </c>
      <c r="I142" s="23" t="str">
        <f>IFERROR(__xludf.DUMMYFUNCTION("GOOGLETRANSLATE(B142, ""en"", ""pl"")"),"Służy do ścinania drzew na drewno.")</f>
        <v>Służy do ścinania drzew na drewno.</v>
      </c>
      <c r="J142" s="25" t="str">
        <f>IFERROR(__xludf.DUMMYFUNCTION("GOOGLETRANSLATE(B142, ""en"", ""zh"")"),"用于砍伐树木的树木。")</f>
        <v>用于砍伐树木的树木。</v>
      </c>
      <c r="K142" s="25" t="str">
        <f>IFERROR(__xludf.DUMMYFUNCTION("GOOGLETRANSLATE(B142, ""en"", ""vi"")"),"Được sử dụng để chặt cây cho gỗ.")</f>
        <v>Được sử dụng để chặt cây cho gỗ.</v>
      </c>
      <c r="L142" s="42" t="str">
        <f>IFERROR(__xludf.DUMMYFUNCTION("GOOGLETRANSLATE(B142, ""en"", ""hr"")"),"Koristi se za sjeckanje drveća za drvo.")</f>
        <v>Koristi se za sjeckanje drveća za drvo.</v>
      </c>
      <c r="M142" s="26"/>
      <c r="N142" s="26"/>
      <c r="O142" s="26"/>
      <c r="P142" s="26"/>
      <c r="Q142" s="26"/>
      <c r="R142" s="26"/>
      <c r="S142" s="26"/>
      <c r="T142" s="26"/>
      <c r="U142" s="26"/>
      <c r="V142" s="26"/>
      <c r="W142" s="26"/>
      <c r="X142" s="26"/>
      <c r="Y142" s="26"/>
      <c r="Z142" s="26"/>
      <c r="AA142" s="26"/>
      <c r="AB142" s="26"/>
    </row>
    <row r="143">
      <c r="A143" s="21" t="s">
        <v>719</v>
      </c>
      <c r="B143" s="22" t="s">
        <v>720</v>
      </c>
      <c r="C143" s="23" t="str">
        <f>IFERROR(__xludf.DUMMYFUNCTION("GOOGLETRANSLATE(B143, ""en"", ""fr"")"),"Pickaxe noctis")</f>
        <v>Pickaxe noctis</v>
      </c>
      <c r="D143" s="23" t="str">
        <f>IFERROR(__xludf.DUMMYFUNCTION("GOOGLETRANSLATE(B143, ""en"", ""es"")"),"Noctis pickaxe")</f>
        <v>Noctis pickaxe</v>
      </c>
      <c r="E143" s="23" t="str">
        <f>IFERROR(__xludf.DUMMYFUNCTION("GOOGLETRANSLATE(B143, ""en"", ""ru"")"),"Noctis Pickaxe")</f>
        <v>Noctis Pickaxe</v>
      </c>
      <c r="F143" s="23" t="str">
        <f>IFERROR(__xludf.DUMMYFUNCTION("GOOGLETRANSLATE(B143, ""en"", ""tr"")"),"Noctis kazma")</f>
        <v>Noctis kazma</v>
      </c>
      <c r="G143" s="23" t="str">
        <f>IFERROR(__xludf.DUMMYFUNCTION("GOOGLETRANSLATE(B143, ""en"", ""pt"")"),"Noctis Pickaxe")</f>
        <v>Noctis Pickaxe</v>
      </c>
      <c r="H143" s="24" t="str">
        <f>IFERROR(__xludf.DUMMYFUNCTION("GOOGLETRANSLATE(B143, ""en"", ""de"")"),"Noctis pickaxe")</f>
        <v>Noctis pickaxe</v>
      </c>
      <c r="I143" s="23" t="str">
        <f>IFERROR(__xludf.DUMMYFUNCTION("GOOGLETRANSLATE(B143, ""en"", ""pl"")"),"Noctis Pickaxe")</f>
        <v>Noctis Pickaxe</v>
      </c>
      <c r="J143" s="25" t="str">
        <f>IFERROR(__xludf.DUMMYFUNCTION("GOOGLETRANSLATE(B143, ""en"", ""zh"")"),"noctis pickaxe")</f>
        <v>noctis pickaxe</v>
      </c>
      <c r="K143" s="25" t="str">
        <f>IFERROR(__xludf.DUMMYFUNCTION("GOOGLETRANSLATE(B143, ""en"", ""vi"")"),"Noctis Pickaxe")</f>
        <v>Noctis Pickaxe</v>
      </c>
      <c r="L143" s="42" t="str">
        <f>IFERROR(__xludf.DUMMYFUNCTION("GOOGLETRANSLATE(B143, ""en"", ""hr"")"),"Noctis pickaxe")</f>
        <v>Noctis pickaxe</v>
      </c>
      <c r="M143" s="26"/>
      <c r="N143" s="26"/>
      <c r="O143" s="26"/>
      <c r="P143" s="26"/>
      <c r="Q143" s="26"/>
      <c r="R143" s="26"/>
      <c r="S143" s="26"/>
      <c r="T143" s="26"/>
      <c r="U143" s="26"/>
      <c r="V143" s="26"/>
      <c r="W143" s="26"/>
      <c r="X143" s="26"/>
      <c r="Y143" s="26"/>
      <c r="Z143" s="26"/>
      <c r="AA143" s="26"/>
      <c r="AB143" s="26"/>
    </row>
    <row r="144">
      <c r="A144" s="21" t="s">
        <v>721</v>
      </c>
      <c r="B144" s="22" t="s">
        <v>635</v>
      </c>
      <c r="C144" s="23" t="str">
        <f>IFERROR(__xludf.DUMMYFUNCTION("GOOGLETRANSLATE(B144, ""en"", ""fr"")"),"Utilisé pour exploiter des rochers pour le minerai.")</f>
        <v>Utilisé pour exploiter des rochers pour le minerai.</v>
      </c>
      <c r="D144" s="23" t="str">
        <f>IFERROR(__xludf.DUMMYFUNCTION("GOOGLETRANSLATE(B144, ""en"", ""es"")"),"Solía ​​extraer rocas para mineral.")</f>
        <v>Solía ​​extraer rocas para mineral.</v>
      </c>
      <c r="E144" s="23" t="str">
        <f>IFERROR(__xludf.DUMMYFUNCTION("GOOGLETRANSLATE(B144, ""en"", ""ru"")"),"Используется для добычи камней для руды.")</f>
        <v>Используется для добычи камней для руды.</v>
      </c>
      <c r="F144" s="23" t="str">
        <f>IFERROR(__xludf.DUMMYFUNCTION("GOOGLETRANSLATE(B144, ""en"", ""tr"")"),"Cevher için kayaları kullanırdı.")</f>
        <v>Cevher için kayaları kullanırdı.</v>
      </c>
      <c r="G144" s="23" t="str">
        <f>IFERROR(__xludf.DUMMYFUNCTION("GOOGLETRANSLATE(B144, ""en"", ""pt"")"),"Usado para minerar pedras para minério.")</f>
        <v>Usado para minerar pedras para minério.</v>
      </c>
      <c r="H144" s="24" t="str">
        <f>IFERROR(__xludf.DUMMYFUNCTION("GOOGLETRANSLATE(B144, ""en"", ""de"")"),"Wird verwendet, um Steine ​​für Erz zu abbauen.")</f>
        <v>Wird verwendet, um Steine ​​für Erz zu abbauen.</v>
      </c>
      <c r="I144" s="23" t="str">
        <f>IFERROR(__xludf.DUMMYFUNCTION("GOOGLETRANSLATE(B144, ""en"", ""pl"")"),"Używany do wydobywania skał do rudy.")</f>
        <v>Używany do wydobywania skał do rudy.</v>
      </c>
      <c r="J144" s="25" t="str">
        <f>IFERROR(__xludf.DUMMYFUNCTION("GOOGLETRANSLATE(B144, ""en"", ""zh"")"),"用于开采矿石的岩石。")</f>
        <v>用于开采矿石的岩石。</v>
      </c>
      <c r="K144" s="25" t="str">
        <f>IFERROR(__xludf.DUMMYFUNCTION("GOOGLETRANSLATE(B144, ""en"", ""vi"")"),"Được sử dụng để khai thác đá cho quặng.")</f>
        <v>Được sử dụng để khai thác đá cho quặng.</v>
      </c>
      <c r="L144" s="42" t="str">
        <f>IFERROR(__xludf.DUMMYFUNCTION("GOOGLETRANSLATE(B144, ""en"", ""hr"")"),"Koristio se za minu stijene za rudu.")</f>
        <v>Koristio se za minu stijene za rudu.</v>
      </c>
      <c r="M144" s="26"/>
      <c r="N144" s="26"/>
      <c r="O144" s="26"/>
      <c r="P144" s="26"/>
      <c r="Q144" s="26"/>
      <c r="R144" s="26"/>
      <c r="S144" s="26"/>
      <c r="T144" s="26"/>
      <c r="U144" s="26"/>
      <c r="V144" s="26"/>
      <c r="W144" s="26"/>
      <c r="X144" s="26"/>
      <c r="Y144" s="26"/>
      <c r="Z144" s="26"/>
      <c r="AA144" s="26"/>
      <c r="AB144" s="26"/>
    </row>
    <row r="145">
      <c r="A145" s="21" t="s">
        <v>722</v>
      </c>
      <c r="B145" s="22" t="s">
        <v>723</v>
      </c>
      <c r="C145" s="23" t="str">
        <f>IFERROR(__xludf.DUMMYFUNCTION("GOOGLETRANSLATE(B145, ""en"", ""fr"")"),"Noctis Faucille")</f>
        <v>Noctis Faucille</v>
      </c>
      <c r="D145" s="23" t="str">
        <f>IFERROR(__xludf.DUMMYFUNCTION("GOOGLETRANSLATE(B145, ""en"", ""es"")"),"Noctis hoz")</f>
        <v>Noctis hoz</v>
      </c>
      <c r="E145" s="23" t="str">
        <f>IFERROR(__xludf.DUMMYFUNCTION("GOOGLETRANSLATE(B145, ""en"", ""ru"")"),"Noctis Syple")</f>
        <v>Noctis Syple</v>
      </c>
      <c r="F145" s="23" t="str">
        <f>IFERROR(__xludf.DUMMYFUNCTION("GOOGLETRANSLATE(B145, ""en"", ""tr"")"),"Noctis orak")</f>
        <v>Noctis orak</v>
      </c>
      <c r="G145" s="23" t="str">
        <f>IFERROR(__xludf.DUMMYFUNCTION("GOOGLETRANSLATE(B145, ""en"", ""pt"")"),"Noctis Sickle")</f>
        <v>Noctis Sickle</v>
      </c>
      <c r="H145" s="24" t="str">
        <f>IFERROR(__xludf.DUMMYFUNCTION("GOOGLETRANSLATE(B145, ""en"", ""de"")"),"Noctis Sichel")</f>
        <v>Noctis Sichel</v>
      </c>
      <c r="I145" s="23" t="str">
        <f>IFERROR(__xludf.DUMMYFUNCTION("GOOGLETRANSLATE(B145, ""en"", ""pl"")"),"Noctis Sickle")</f>
        <v>Noctis Sickle</v>
      </c>
      <c r="J145" s="25" t="str">
        <f>IFERROR(__xludf.DUMMYFUNCTION("GOOGLETRANSLATE(B145, ""en"", ""zh"")"),"Noctis镰刀")</f>
        <v>Noctis镰刀</v>
      </c>
      <c r="K145" s="25" t="str">
        <f>IFERROR(__xludf.DUMMYFUNCTION("GOOGLETRANSLATE(B145, ""en"", ""vi"")"),"Nickle Noctis")</f>
        <v>Nickle Noctis</v>
      </c>
      <c r="L145" s="42" t="str">
        <f>IFERROR(__xludf.DUMMYFUNCTION("GOOGLETRANSLATE(B145, ""en"", ""hr"")"),"Noctis srp")</f>
        <v>Noctis srp</v>
      </c>
      <c r="M145" s="26"/>
      <c r="N145" s="26"/>
      <c r="O145" s="26"/>
      <c r="P145" s="26"/>
      <c r="Q145" s="26"/>
      <c r="R145" s="26"/>
      <c r="S145" s="26"/>
      <c r="T145" s="26"/>
      <c r="U145" s="26"/>
      <c r="V145" s="26"/>
      <c r="W145" s="26"/>
      <c r="X145" s="26"/>
      <c r="Y145" s="26"/>
      <c r="Z145" s="26"/>
      <c r="AA145" s="26"/>
      <c r="AB145" s="26"/>
    </row>
    <row r="146">
      <c r="A146" s="21" t="s">
        <v>724</v>
      </c>
      <c r="B146" s="22" t="s">
        <v>645</v>
      </c>
      <c r="C146" s="23" t="str">
        <f>IFERROR(__xludf.DUMMYFUNCTION("GOOGLETRANSLATE(B146, ""en"", ""fr"")"),"Utilisé pour rassembler des plantes.")</f>
        <v>Utilisé pour rassembler des plantes.</v>
      </c>
      <c r="D146" s="23" t="str">
        <f>IFERROR(__xludf.DUMMYFUNCTION("GOOGLETRANSLATE(B146, ""en"", ""es"")"),"Se usa para recolectar plantas.")</f>
        <v>Se usa para recolectar plantas.</v>
      </c>
      <c r="E146" s="23" t="str">
        <f>IFERROR(__xludf.DUMMYFUNCTION("GOOGLETRANSLATE(B146, ""en"", ""ru"")"),"Используется для сбора растений.")</f>
        <v>Используется для сбора растений.</v>
      </c>
      <c r="F146" s="23" t="str">
        <f>IFERROR(__xludf.DUMMYFUNCTION("GOOGLETRANSLATE(B146, ""en"", ""tr"")"),"Bitkiler toplamak için kullanılır.")</f>
        <v>Bitkiler toplamak için kullanılır.</v>
      </c>
      <c r="G146" s="23" t="str">
        <f>IFERROR(__xludf.DUMMYFUNCTION("GOOGLETRANSLATE(B146, ""en"", ""pt"")"),"Usado para reunir plantas.")</f>
        <v>Usado para reunir plantas.</v>
      </c>
      <c r="H146" s="24" t="str">
        <f>IFERROR(__xludf.DUMMYFUNCTION("GOOGLETRANSLATE(B146, ""en"", ""de"")"),"Verwendet, um Pflanzen zu sammeln.")</f>
        <v>Verwendet, um Pflanzen zu sammeln.</v>
      </c>
      <c r="I146" s="23" t="str">
        <f>IFERROR(__xludf.DUMMYFUNCTION("GOOGLETRANSLATE(B146, ""en"", ""pl"")"),"Używane do zbierania roślin.")</f>
        <v>Używane do zbierania roślin.</v>
      </c>
      <c r="J146" s="25" t="str">
        <f>IFERROR(__xludf.DUMMYFUNCTION("GOOGLETRANSLATE(B146, ""en"", ""zh"")"),"用于收集植物。")</f>
        <v>用于收集植物。</v>
      </c>
      <c r="K146" s="25" t="str">
        <f>IFERROR(__xludf.DUMMYFUNCTION("GOOGLETRANSLATE(B146, ""en"", ""vi"")"),"Được sử dụng để thu thập thực vật.")</f>
        <v>Được sử dụng để thu thập thực vật.</v>
      </c>
      <c r="L146" s="42" t="str">
        <f>IFERROR(__xludf.DUMMYFUNCTION("GOOGLETRANSLATE(B146, ""en"", ""hr"")"),"Koristi se za okupljanje biljaka.")</f>
        <v>Koristi se za okupljanje biljaka.</v>
      </c>
      <c r="M146" s="26"/>
      <c r="N146" s="26"/>
      <c r="O146" s="26"/>
      <c r="P146" s="26"/>
      <c r="Q146" s="26"/>
      <c r="R146" s="26"/>
      <c r="S146" s="26"/>
      <c r="T146" s="26"/>
      <c r="U146" s="26"/>
      <c r="V146" s="26"/>
      <c r="W146" s="26"/>
      <c r="X146" s="26"/>
      <c r="Y146" s="26"/>
      <c r="Z146" s="26"/>
      <c r="AA146" s="26"/>
      <c r="AB146" s="26"/>
    </row>
    <row r="147">
      <c r="A147" s="21" t="s">
        <v>725</v>
      </c>
      <c r="B147" s="22" t="s">
        <v>726</v>
      </c>
      <c r="C147" s="23" t="str">
        <f>IFERROR(__xludf.DUMMYFUNCTION("GOOGLETRANSLATE(B147, ""en"", ""fr"")"),"Noctis Arrows")</f>
        <v>Noctis Arrows</v>
      </c>
      <c r="D147" s="23" t="str">
        <f>IFERROR(__xludf.DUMMYFUNCTION("GOOGLETRANSLATE(B147, ""en"", ""es"")"),"Flechas de Noctis")</f>
        <v>Flechas de Noctis</v>
      </c>
      <c r="E147" s="23" t="str">
        <f>IFERROR(__xludf.DUMMYFUNCTION("GOOGLETRANSLATE(B147, ""en"", ""ru"")"),"Ноктис Стрелы")</f>
        <v>Ноктис Стрелы</v>
      </c>
      <c r="F147" s="23" t="str">
        <f>IFERROR(__xludf.DUMMYFUNCTION("GOOGLETRANSLATE(B147, ""en"", ""tr"")"),"Noctis okları")</f>
        <v>Noctis okları</v>
      </c>
      <c r="G147" s="23" t="str">
        <f>IFERROR(__xludf.DUMMYFUNCTION("GOOGLETRANSLATE(B147, ""en"", ""pt"")"),"Noctis setas")</f>
        <v>Noctis setas</v>
      </c>
      <c r="H147" s="24" t="str">
        <f>IFERROR(__xludf.DUMMYFUNCTION("GOOGLETRANSLATE(B147, ""en"", ""de"")"),"Noctis -Pfeile")</f>
        <v>Noctis -Pfeile</v>
      </c>
      <c r="I147" s="23" t="str">
        <f>IFERROR(__xludf.DUMMYFUNCTION("GOOGLETRANSLATE(B147, ""en"", ""pl"")"),"Strzałki Noctis")</f>
        <v>Strzałki Noctis</v>
      </c>
      <c r="J147" s="25" t="str">
        <f>IFERROR(__xludf.DUMMYFUNCTION("GOOGLETRANSLATE(B147, ""en"", ""zh"")"),"Noctis箭头")</f>
        <v>Noctis箭头</v>
      </c>
      <c r="K147" s="25" t="str">
        <f>IFERROR(__xludf.DUMMYFUNCTION("GOOGLETRANSLATE(B147, ""en"", ""vi"")"),"Mũi tên Noctis")</f>
        <v>Mũi tên Noctis</v>
      </c>
      <c r="L147" s="42" t="str">
        <f>IFERROR(__xludf.DUMMYFUNCTION("GOOGLETRANSLATE(B147, ""en"", ""hr"")"),"Noctis strelice")</f>
        <v>Noctis strelice</v>
      </c>
      <c r="M147" s="26"/>
      <c r="N147" s="26"/>
      <c r="O147" s="26"/>
      <c r="P147" s="26"/>
      <c r="Q147" s="26"/>
      <c r="R147" s="26"/>
      <c r="S147" s="26"/>
      <c r="T147" s="26"/>
      <c r="U147" s="26"/>
      <c r="V147" s="26"/>
      <c r="W147" s="26"/>
      <c r="X147" s="26"/>
      <c r="Y147" s="26"/>
      <c r="Z147" s="26"/>
      <c r="AA147" s="26"/>
      <c r="AB147" s="26"/>
    </row>
    <row r="148">
      <c r="A148" s="21" t="s">
        <v>727</v>
      </c>
      <c r="B148" s="22" t="s">
        <v>649</v>
      </c>
      <c r="C148" s="23" t="str">
        <f>IFERROR(__xludf.DUMMYFUNCTION("GOOGLETRANSLATE(B148, ""en"", ""fr"")"),"Utilisé comme munitions pour un arc.")</f>
        <v>Utilisé comme munitions pour un arc.</v>
      </c>
      <c r="D148" s="23" t="str">
        <f>IFERROR(__xludf.DUMMYFUNCTION("GOOGLETRANSLATE(B148, ""en"", ""es"")"),"Utilizado como municiones para un arco.")</f>
        <v>Utilizado como municiones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""de"")"),"Als Munition für einen Bogen verwendet.")</f>
        <v>Als Munition für einen Bogen verwendet.</v>
      </c>
      <c r="I148" s="23" t="str">
        <f>IFERROR(__xludf.DUMMYFUNCTION("GOOGLETRANSLATE(B148, ""en"", ""pl"")"),"Używane jako amunicja do łuku.")</f>
        <v>Używane jako amunicja do łuku.</v>
      </c>
      <c r="J148" s="25" t="str">
        <f>IFERROR(__xludf.DUMMYFUNCTION("GOOGLETRANSLATE(B148, ""en"", ""zh"")"),"用作弓的弹药。")</f>
        <v>用作弓的弹药。</v>
      </c>
      <c r="K148" s="25" t="str">
        <f>IFERROR(__xludf.DUMMYFUNCTION("GOOGLETRANSLATE(B148, ""en"", ""vi"")"),"Được sử dụng làm đạn dược cho một cây cung.")</f>
        <v>Được sử dụng làm đạn dược cho một cây cung.</v>
      </c>
      <c r="L148" s="42" t="str">
        <f>IFERROR(__xludf.DUMMYFUNCTION("GOOGLETRANSLATE(B148, ""en"", ""hr"")"),"Koristi se kao municija za luk.")</f>
        <v>Koristi se kao municija za luk.</v>
      </c>
      <c r="M148" s="26"/>
      <c r="N148" s="26"/>
      <c r="O148" s="26"/>
      <c r="P148" s="26"/>
      <c r="Q148" s="26"/>
      <c r="R148" s="26"/>
      <c r="S148" s="26"/>
      <c r="T148" s="26"/>
      <c r="U148" s="26"/>
      <c r="V148" s="26"/>
      <c r="W148" s="26"/>
      <c r="X148" s="26"/>
      <c r="Y148" s="26"/>
      <c r="Z148" s="26"/>
      <c r="AA148" s="26"/>
      <c r="AB148" s="26"/>
    </row>
    <row r="149">
      <c r="A149" s="21" t="s">
        <v>728</v>
      </c>
      <c r="B149" s="22" t="s">
        <v>729</v>
      </c>
      <c r="C149" s="23" t="str">
        <f>IFERROR(__xludf.DUMMYFUNCTION("GOOGLETRANSLATE(B149, ""en"", ""fr"")"),"Poignard noctis")</f>
        <v>Poignard noctis</v>
      </c>
      <c r="D149" s="23" t="str">
        <f>IFERROR(__xludf.DUMMYFUNCTION("GOOGLETRANSLATE(B149, ""en"", ""es"")"),"Noctis daga")</f>
        <v>Noctis daga</v>
      </c>
      <c r="E149" s="23" t="str">
        <f>IFERROR(__xludf.DUMMYFUNCTION("GOOGLETRANSLATE(B149, ""en"", ""ru"")"),"Noctis Kinger")</f>
        <v>Noctis Kinger</v>
      </c>
      <c r="F149" s="23" t="str">
        <f>IFERROR(__xludf.DUMMYFUNCTION("GOOGLETRANSLATE(B149, ""en"", ""tr"")"),"Noctis hançeri")</f>
        <v>Noctis hançeri</v>
      </c>
      <c r="G149" s="23" t="str">
        <f>IFERROR(__xludf.DUMMYFUNCTION("GOOGLETRANSLATE(B149, ""en"", ""pt"")"),"Noctis Dagger")</f>
        <v>Noctis Dagger</v>
      </c>
      <c r="H149" s="24" t="str">
        <f>IFERROR(__xludf.DUMMYFUNCTION("GOOGLETRANSLATE(B149, ""en"", ""de"")"),"Noctis Dolch")</f>
        <v>Noctis Dolch</v>
      </c>
      <c r="I149" s="23" t="str">
        <f>IFERROR(__xludf.DUMMYFUNCTION("GOOGLETRANSLATE(B149, ""en"", ""pl"")"),"Noctis Dagger")</f>
        <v>Noctis Dagger</v>
      </c>
      <c r="J149" s="25" t="str">
        <f>IFERROR(__xludf.DUMMYFUNCTION("GOOGLETRANSLATE(B149, ""en"", ""zh"")"),"Noctis Dagger")</f>
        <v>Noctis Dagger</v>
      </c>
      <c r="K149" s="25" t="str">
        <f>IFERROR(__xludf.DUMMYFUNCTION("GOOGLETRANSLATE(B149, ""en"", ""vi"")"),"Noctis dao găm")</f>
        <v>Noctis dao găm</v>
      </c>
      <c r="L149" s="42" t="str">
        <f>IFERROR(__xludf.DUMMYFUNCTION("GOOGLETRANSLATE(B149, ""en"", ""hr"")"),"Noctis bodež")</f>
        <v>Noctis bodež</v>
      </c>
      <c r="M149" s="26"/>
      <c r="N149" s="26"/>
      <c r="O149" s="26"/>
      <c r="P149" s="26"/>
      <c r="Q149" s="26"/>
      <c r="R149" s="26"/>
      <c r="S149" s="26"/>
      <c r="T149" s="26"/>
      <c r="U149" s="26"/>
      <c r="V149" s="26"/>
      <c r="W149" s="26"/>
      <c r="X149" s="26"/>
      <c r="Y149" s="26"/>
      <c r="Z149" s="26"/>
      <c r="AA149" s="26"/>
      <c r="AB149" s="26"/>
    </row>
    <row r="150">
      <c r="A150" s="21" t="s">
        <v>730</v>
      </c>
      <c r="B150" s="22" t="s">
        <v>653</v>
      </c>
      <c r="C150" s="23" t="str">
        <f>IFERROR(__xludf.DUMMYFUNCTION("GOOGLETRANSLATE(B150, ""en"", ""fr"")"),"Une arme de mêlée à courte portée. Infliger des dégâts bonus lorsqu'il frappe par derrière.")</f>
        <v>Une arme de mêlée à courte portée. Infliger des dégâts bonus lorsqu'il frappe par derrière.</v>
      </c>
      <c r="D150" s="23" t="str">
        <f>IFERROR(__xludf.DUMMYFUNCTION("GOOGLETRANSLATE(B150, ""en"", ""es"")"),"Un arma cuerpo a cuerpo de corto alcance. Influye daños adicionales cuando golpea por detrás.")</f>
        <v>Un arma cuerpo a cuerpo de corto alcance. Influye daños adicionales cuando golpea por detrás.</v>
      </c>
      <c r="E150" s="23" t="str">
        <f>IFERROR(__xludf.DUMMYFUNCTION("GOOGLETRANSLATE(B150, ""en"", ""ru"")"),"Короткое расстояние оружия ближнего боя. Наносит бонусный урон, когда он попадает сзади.")</f>
        <v>Короткое расстояние оружия ближнего боя. Наносит бонусный урон, когда он попадает сзади.</v>
      </c>
      <c r="F150" s="23" t="str">
        <f>IFERROR(__xludf.DUMMYFUNCTION("GOOGLETRANSLATE(B150, ""en"", ""tr"")"),"Kısa menzilli bir yakın dövüş silahı. Arkadan vurduğunda bonus hasarı verir.")</f>
        <v>Kısa menzilli bir yakın dövüş silahı. Arkadan vurduğunda bonus hasarı verir.</v>
      </c>
      <c r="G150" s="23" t="str">
        <f>IFERROR(__xludf.DUMMYFUNCTION("GOOGLETRANSLATE(B150, ""en"", ""pt"")"),"Uma arma corpo a corpo de curto alcance. Causa dano de bônus quando atinge por trás.")</f>
        <v>Uma arma corpo a corpo de curto alcance. Causa dano de bônus quando atinge por trás.</v>
      </c>
      <c r="H150" s="24" t="str">
        <f>IFERROR(__xludf.DUMMYFUNCTION("GOOGLETRANSLATE(B150, ""en"", ""de"")"),"Eine Kurzstrecke -Nahkampfwaffe. Fördert Bonusschaden, wenn es von hinten trifft.")</f>
        <v>Eine Kurzstrecke -Nahkampfwaffe. Fördert Bonusschaden, wenn es von hinten trifft.</v>
      </c>
      <c r="I150" s="23" t="str">
        <f>IFERROR(__xludf.DUMMYFUNCTION("GOOGLETRANSLATE(B150, ""en"", ""pl"")"),"Broń w zwarciu krótkiego zasięgu. Zadaje obrażenia bonusowe, gdy uderza od tyłu.")</f>
        <v>Broń w zwarciu krótkiego zasięgu. Zadaje obrażenia bonusowe, gdy uderza od tyłu.</v>
      </c>
      <c r="J150" s="25" t="str">
        <f>IFERROR(__xludf.DUMMYFUNCTION("GOOGLETRANSLATE(B150, ""en"", ""zh"")"),"短距离近战武器。从后面击中奖金损失。")</f>
        <v>短距离近战武器。从后面击中奖金损失。</v>
      </c>
      <c r="K150" s="25" t="str">
        <f>IFERROR(__xludf.DUMMYFUNCTION("GOOGLETRANSLATE(B150, ""en"", ""vi"")"),"Một vũ khí cận chiến phạm vi ngắn. Ưu đãi thiệt hại tiền thưởng khi nó đánh từ phía sau.")</f>
        <v>Một vũ khí cận chiến phạm vi ngắn. Ưu đãi thiệt hại tiền thưởng khi nó đánh từ phía sau.</v>
      </c>
      <c r="L150" s="42" t="str">
        <f>IFERROR(__xludf.DUMMYFUNCTION("GOOGLETRANSLATE(B150, ""en"", ""hr"")"),"Oružje za melee kratkog dometa. Nanosi štetu od bonusa kada pogodi odostraga.")</f>
        <v>Oružje za melee kratkog dometa. Nanosi štetu od bonusa kada pogodi odostraga.</v>
      </c>
      <c r="M150" s="26"/>
      <c r="N150" s="26"/>
      <c r="O150" s="26"/>
      <c r="P150" s="26"/>
      <c r="Q150" s="26"/>
      <c r="R150" s="26"/>
      <c r="S150" s="26"/>
      <c r="T150" s="26"/>
      <c r="U150" s="26"/>
      <c r="V150" s="26"/>
      <c r="W150" s="26"/>
      <c r="X150" s="26"/>
      <c r="Y150" s="26"/>
      <c r="Z150" s="26"/>
      <c r="AA150" s="26"/>
      <c r="AB150" s="26"/>
    </row>
    <row r="151">
      <c r="A151" s="21" t="s">
        <v>731</v>
      </c>
      <c r="B151" s="22" t="s">
        <v>732</v>
      </c>
      <c r="C151" s="23" t="str">
        <f>IFERROR(__xludf.DUMMYFUNCTION("GOOGLETRANSLATE(B151, ""en"", ""fr"")"),"Épée noctis")</f>
        <v>Épée noctis</v>
      </c>
      <c r="D151" s="23" t="str">
        <f>IFERROR(__xludf.DUMMYFUNCTION("GOOGLETRANSLATE(B151, ""en"", ""es"")"),"Espada noctis")</f>
        <v>Espada noctis</v>
      </c>
      <c r="E151" s="23" t="str">
        <f>IFERROR(__xludf.DUMMYFUNCTION("GOOGLETRANSLATE(B151, ""en"", ""ru"")"),"Noctis Меч")</f>
        <v>Noctis Меч</v>
      </c>
      <c r="F151" s="23" t="str">
        <f>IFERROR(__xludf.DUMMYFUNCTION("GOOGLETRANSLATE(B151, ""en"", ""tr"")"),"Noctis Kılıç")</f>
        <v>Noctis Kılıç</v>
      </c>
      <c r="G151" s="23" t="str">
        <f>IFERROR(__xludf.DUMMYFUNCTION("GOOGLETRANSLATE(B151, ""en"", ""pt"")"),"Espada noctis")</f>
        <v>Espada noctis</v>
      </c>
      <c r="H151" s="24" t="str">
        <f>IFERROR(__xludf.DUMMYFUNCTION("GOOGLETRANSLATE(B151, ""en"", ""de"")"),"Noctis -Schwert")</f>
        <v>Noctis -Schwert</v>
      </c>
      <c r="I151" s="23" t="str">
        <f>IFERROR(__xludf.DUMMYFUNCTION("GOOGLETRANSLATE(B151, ""en"", ""pl"")"),"Miecz Noctis")</f>
        <v>Miecz Noctis</v>
      </c>
      <c r="J151" s="25" t="str">
        <f>IFERROR(__xludf.DUMMYFUNCTION("GOOGLETRANSLATE(B151, ""en"", ""zh"")"),"Noctis剑")</f>
        <v>Noctis剑</v>
      </c>
      <c r="K151" s="25" t="str">
        <f>IFERROR(__xludf.DUMMYFUNCTION("GOOGLETRANSLATE(B151, ""en"", ""vi"")"),"Thanh kiếm Noctis")</f>
        <v>Thanh kiếm Noctis</v>
      </c>
      <c r="L151" s="42" t="str">
        <f>IFERROR(__xludf.DUMMYFUNCTION("GOOGLETRANSLATE(B151, ""en"", ""hr"")"),"Noctis mač")</f>
        <v>Noctis mač</v>
      </c>
      <c r="M151" s="26"/>
      <c r="N151" s="26"/>
      <c r="O151" s="26"/>
      <c r="P151" s="26"/>
      <c r="Q151" s="26"/>
      <c r="R151" s="26"/>
      <c r="S151" s="26"/>
      <c r="T151" s="26"/>
      <c r="U151" s="26"/>
      <c r="V151" s="26"/>
      <c r="W151" s="26"/>
      <c r="X151" s="26"/>
      <c r="Y151" s="26"/>
      <c r="Z151" s="26"/>
      <c r="AA151" s="26"/>
      <c r="AB151" s="26"/>
    </row>
    <row r="152">
      <c r="A152" s="21" t="s">
        <v>733</v>
      </c>
      <c r="B152" s="22" t="s">
        <v>657</v>
      </c>
      <c r="C152" s="23" t="str">
        <f>IFERROR(__xludf.DUMMYFUNCTION("GOOGLETRANSLATE(B152, ""en"", ""fr"")"),"Arme de mêlée. Utilisé pour attaquer une courte distance.")</f>
        <v>Arme de mêlée. Utilisé pour attaquer une courte distance.</v>
      </c>
      <c r="D152" s="23" t="str">
        <f>IFERROR(__xludf.DUMMYFUNCTION("GOOGLETRANSLATE(B152, ""en"", ""es"")"),"Arma cuerpo a cuerpo. Solía ​​atacar a una corta distancia de distancia.")</f>
        <v>Arma cuerpo a cuerpo. Solía ​​atacar a una corta distancia de distancia.</v>
      </c>
      <c r="E152" s="23" t="str">
        <f>IFERROR(__xludf.DUMMYFUNCTION("GOOGLETRANSLATE(B152, ""en"", ""ru"")"),"Оружие ближнего боя. Используется для атаки на короткое расстояние.")</f>
        <v>Оружие ближнего боя. Используется для атаки на короткое расстояние.</v>
      </c>
      <c r="F152" s="23" t="str">
        <f>IFERROR(__xludf.DUMMYFUNCTION("GOOGLETRANSLATE(B152, ""en"", ""tr"")"),"Yakın dövüş silahı. Kısa bir mesafeye saldırmak için kullanılır.")</f>
        <v>Yakın dövüş silahı. Kısa bir mesafeye saldırmak için kullanılır.</v>
      </c>
      <c r="G152" s="23" t="str">
        <f>IFERROR(__xludf.DUMMYFUNCTION("GOOGLETRANSLATE(B152, ""en"", ""pt"")"),"Arma branca. Usado para atacar a uma curta distância.")</f>
        <v>Arma branca. Usado para atacar a uma curta distância.</v>
      </c>
      <c r="H152" s="24" t="str">
        <f>IFERROR(__xludf.DUMMYFUNCTION("GOOGLETRANSLATE(B152, ""en"", ""de"")"),"Nahkampfwaffe. Wird verwendet, um eine kurze Strecke entfernt anzugreifen.")</f>
        <v>Nahkampfwaffe. Wird verwendet, um eine kurze Strecke entfernt anzugreifen.</v>
      </c>
      <c r="I152" s="23" t="str">
        <f>IFERROR(__xludf.DUMMYFUNCTION("GOOGLETRANSLATE(B152, ""en"", ""pl"")"),"Broń biała. Używany do ataku w niewielkiej odległości.")</f>
        <v>Broń biała. Używany do ataku w niewielkiej odległości.</v>
      </c>
      <c r="J152" s="25" t="str">
        <f>IFERROR(__xludf.DUMMYFUNCTION("GOOGLETRANSLATE(B152, ""en"", ""zh"")"),"近战武器。用来攻击很短的距离。")</f>
        <v>近战武器。用来攻击很短的距离。</v>
      </c>
      <c r="K152" s="25" t="str">
        <f>IFERROR(__xludf.DUMMYFUNCTION("GOOGLETRANSLATE(B152, ""en"", ""vi"")"),"Vũ khí cận chiến. Được sử dụng để tấn công một khoảng cách ngắn.")</f>
        <v>Vũ khí cận chiến. Được sử dụng để tấn công một khoảng cách ngắn.</v>
      </c>
      <c r="L152" s="42" t="str">
        <f>IFERROR(__xludf.DUMMYFUNCTION("GOOGLETRANSLATE(B152, ""en"", ""hr"")"),"Oružje od melee. Koristio za napad na kratku udaljenost.")</f>
        <v>Oružje od melee. Koristio za napad na kratku udaljenost.</v>
      </c>
      <c r="M152" s="26"/>
      <c r="N152" s="26"/>
      <c r="O152" s="26"/>
      <c r="P152" s="26"/>
      <c r="Q152" s="26"/>
      <c r="R152" s="26"/>
      <c r="S152" s="26"/>
      <c r="T152" s="26"/>
      <c r="U152" s="26"/>
      <c r="V152" s="26"/>
      <c r="W152" s="26"/>
      <c r="X152" s="26"/>
      <c r="Y152" s="26"/>
      <c r="Z152" s="26"/>
      <c r="AA152" s="26"/>
      <c r="AB152" s="26"/>
    </row>
    <row r="153">
      <c r="A153" s="21" t="s">
        <v>734</v>
      </c>
      <c r="B153" s="22" t="s">
        <v>735</v>
      </c>
      <c r="C153" s="23" t="str">
        <f>IFERROR(__xludf.DUMMYFUNCTION("GOOGLETRANSLATE(B153, ""en"", ""fr"")"),"Noctis")</f>
        <v>Noctis</v>
      </c>
      <c r="D153" s="23" t="str">
        <f>IFERROR(__xludf.DUMMYFUNCTION("GOOGLETRANSLATE(B153, ""en"", ""es"")"),"Martillo noctis")</f>
        <v>Martillo noctis</v>
      </c>
      <c r="E153" s="23" t="str">
        <f>IFERROR(__xludf.DUMMYFUNCTION("GOOGLETRANSLATE(B153, ""en"", ""ru"")"),"Noctis Hammer")</f>
        <v>Noctis Hammer</v>
      </c>
      <c r="F153" s="23" t="str">
        <f>IFERROR(__xludf.DUMMYFUNCTION("GOOGLETRANSLATE(B153, ""en"", ""tr"")"),"Noctis Çekiç")</f>
        <v>Noctis Çekiç</v>
      </c>
      <c r="G153" s="23" t="str">
        <f>IFERROR(__xludf.DUMMYFUNCTION("GOOGLETRANSLATE(B153, ""en"", ""pt"")"),"Noctis martelo")</f>
        <v>Noctis martelo</v>
      </c>
      <c r="H153" s="24" t="str">
        <f>IFERROR(__xludf.DUMMYFUNCTION("GOOGLETRANSLATE(B153, ""en"", ""de"")"),"Noctis Hammer")</f>
        <v>Noctis Hammer</v>
      </c>
      <c r="I153" s="23" t="str">
        <f>IFERROR(__xludf.DUMMYFUNCTION("GOOGLETRANSLATE(B153, ""en"", ""pl"")"),"Noctis Hammer")</f>
        <v>Noctis Hammer</v>
      </c>
      <c r="J153" s="25" t="str">
        <f>IFERROR(__xludf.DUMMYFUNCTION("GOOGLETRANSLATE(B153, ""en"", ""zh"")"),"Noctis Hammer")</f>
        <v>Noctis Hammer</v>
      </c>
      <c r="K153" s="25" t="str">
        <f>IFERROR(__xludf.DUMMYFUNCTION("GOOGLETRANSLATE(B153, ""en"", ""vi"")"),"Búa Noctis")</f>
        <v>Búa Noctis</v>
      </c>
      <c r="L153" s="42" t="str">
        <f>IFERROR(__xludf.DUMMYFUNCTION("GOOGLETRANSLATE(B153, ""en"", ""hr"")"),"Noctis čekić")</f>
        <v>Noctis čekić</v>
      </c>
      <c r="M153" s="26"/>
      <c r="N153" s="26"/>
      <c r="O153" s="26"/>
      <c r="P153" s="26"/>
      <c r="Q153" s="26"/>
      <c r="R153" s="26"/>
      <c r="S153" s="26"/>
      <c r="T153" s="26"/>
      <c r="U153" s="26"/>
      <c r="V153" s="26"/>
      <c r="W153" s="26"/>
      <c r="X153" s="26"/>
      <c r="Y153" s="26"/>
      <c r="Z153" s="26"/>
      <c r="AA153" s="26"/>
      <c r="AB153" s="26"/>
    </row>
    <row r="154">
      <c r="A154" s="21" t="s">
        <v>736</v>
      </c>
      <c r="B154" s="22" t="s">
        <v>661</v>
      </c>
      <c r="C154" s="23" t="str">
        <f>IFERROR(__xludf.DUMMYFUNCTION("GOOGLETRANSLATE(B154, ""en"", ""fr"")"),"Arme de mêlée. Repousse les choses un espace quand il frappe.")</f>
        <v>Arme de mêlée. Repousse les choses un espace quand il frappe.</v>
      </c>
      <c r="D154" s="23" t="str">
        <f>IFERROR(__xludf.DUMMYFUNCTION("GOOGLETRANSLATE(B154, ""en"", ""es"")"),"Arma cuerpo a cuerpo. Empuja las cosas un espacio cuando golpea.")</f>
        <v>Arma cuerpo a cuerpo. Empuja las cosas un espacio cuando golpea.</v>
      </c>
      <c r="E154" s="23" t="str">
        <f>IFERROR(__xludf.DUMMYFUNCTION("GOOGLETRANSLATE(B154, ""en"", ""ru"")"),"Оружие ближнего боя. Отталкивает вещи на одно пространство, когда он попадает.")</f>
        <v>Оружие ближнего боя. Отталкивает вещи на одно пространство, когда он попадает.</v>
      </c>
      <c r="F154" s="23" t="str">
        <f>IFERROR(__xludf.DUMMYFUNCTION("GOOGLETRANSLATE(B154, ""en"", ""tr"")"),"Yakın dövüş silahı. Bir şeyleri vurduğunda bir alanı geri iter.")</f>
        <v>Yakın dövüş silahı. Bir şeyleri vurduğunda bir alanı geri iter.</v>
      </c>
      <c r="G154" s="23" t="str">
        <f>IFERROR(__xludf.DUMMYFUNCTION("GOOGLETRANSLATE(B154, ""en"", ""pt"")"),"Arma branca. Empurra as coisas de volta um espaço quando atinge.")</f>
        <v>Arma branca. Empurra as coisas de volta um espaço quando atinge.</v>
      </c>
      <c r="H154" s="24" t="str">
        <f>IFERROR(__xludf.DUMMYFUNCTION("GOOGLETRANSLATE(B154, ""en"", ""de"")"),"Nahkampfwaffe. Drückt die Dinge einen Raum zurück, wenn es trifft.")</f>
        <v>Nahkampfwaffe. Drückt die Dinge einen Raum zurück, wenn es trifft.</v>
      </c>
      <c r="I154" s="23" t="str">
        <f>IFERROR(__xludf.DUMMYFUNCTION("GOOGLETRANSLATE(B154, ""en"", ""pl"")"),"Broń biała. Odsuwa rzeczy do jednego miejsca, gdy uderza.")</f>
        <v>Broń biała. Odsuwa rzeczy do jednego miejsca, gdy uderza.</v>
      </c>
      <c r="J154" s="25" t="str">
        <f>IFERROR(__xludf.DUMMYFUNCTION("GOOGLETRANSLATE(B154, ""en"", ""zh"")"),"近战武器。撞击时将事物推回一个空间。")</f>
        <v>近战武器。撞击时将事物推回一个空间。</v>
      </c>
      <c r="K154" s="25" t="str">
        <f>IFERROR(__xludf.DUMMYFUNCTION("GOOGLETRANSLATE(B154, ""en"", ""vi"")"),"Vũ khí cận chiến. Đẩy mọi thứ trở lại một không gian khi nó chạm vào.")</f>
        <v>Vũ khí cận chiến. Đẩy mọi thứ trở lại một không gian khi nó chạm vào.</v>
      </c>
      <c r="L154" s="42" t="str">
        <f>IFERROR(__xludf.DUMMYFUNCTION("GOOGLETRANSLATE(B154, ""en"", ""hr"")"),"Oružje od melee. Gura stvari natrag jedan prostor kad udari.")</f>
        <v>Oružje od melee. Gura stvari natrag jedan prostor kad udari.</v>
      </c>
      <c r="M154" s="26"/>
      <c r="N154" s="26"/>
      <c r="O154" s="26"/>
      <c r="P154" s="26"/>
      <c r="Q154" s="26"/>
      <c r="R154" s="26"/>
      <c r="S154" s="26"/>
      <c r="T154" s="26"/>
      <c r="U154" s="26"/>
      <c r="V154" s="26"/>
      <c r="W154" s="26"/>
      <c r="X154" s="26"/>
      <c r="Y154" s="26"/>
      <c r="Z154" s="26"/>
      <c r="AA154" s="26"/>
      <c r="AB154" s="26"/>
    </row>
    <row r="155">
      <c r="A155" s="21" t="s">
        <v>737</v>
      </c>
      <c r="B155" s="22" t="s">
        <v>738</v>
      </c>
      <c r="C155" s="23" t="str">
        <f>IFERROR(__xludf.DUMMYFUNCTION("GOOGLETRANSLATE(B155, ""en"", ""fr"")"),"Armure noctis")</f>
        <v>Armure noctis</v>
      </c>
      <c r="D155" s="23" t="str">
        <f>IFERROR(__xludf.DUMMYFUNCTION("GOOGLETRANSLATE(B155, ""en"", ""es"")"),"Armadura noctis")</f>
        <v>Armadura noctis</v>
      </c>
      <c r="E155" s="23" t="str">
        <f>IFERROR(__xludf.DUMMYFUNCTION("GOOGLETRANSLATE(B155, ""en"", ""ru"")"),"Noctis Armor")</f>
        <v>Noctis Armor</v>
      </c>
      <c r="F155" s="23" t="str">
        <f>IFERROR(__xludf.DUMMYFUNCTION("GOOGLETRANSLATE(B155, ""en"", ""tr"")"),"Noctis zırhı")</f>
        <v>Noctis zırhı</v>
      </c>
      <c r="G155" s="23" t="str">
        <f>IFERROR(__xludf.DUMMYFUNCTION("GOOGLETRANSLATE(B155, ""en"", ""pt"")"),"Armadura noctis")</f>
        <v>Armadura noctis</v>
      </c>
      <c r="H155" s="24" t="str">
        <f>IFERROR(__xludf.DUMMYFUNCTION("GOOGLETRANSLATE(B155, ""en"", ""de"")"),"Noctis -Rüstung")</f>
        <v>Noctis -Rüstung</v>
      </c>
      <c r="I155" s="23" t="str">
        <f>IFERROR(__xludf.DUMMYFUNCTION("GOOGLETRANSLATE(B155, ""en"", ""pl"")"),"Pancerz Noctis")</f>
        <v>Pancerz Noctis</v>
      </c>
      <c r="J155" s="25" t="str">
        <f>IFERROR(__xludf.DUMMYFUNCTION("GOOGLETRANSLATE(B155, ""en"", ""zh"")"),"Noctis盔甲")</f>
        <v>Noctis盔甲</v>
      </c>
      <c r="K155" s="25" t="str">
        <f>IFERROR(__xludf.DUMMYFUNCTION("GOOGLETRANSLATE(B155, ""en"", ""vi"")"),"Giáp Noctis")</f>
        <v>Giáp Noctis</v>
      </c>
      <c r="L155" s="42" t="str">
        <f>IFERROR(__xludf.DUMMYFUNCTION("GOOGLETRANSLATE(B155, ""en"", ""hr"")"),"Noctis oklop")</f>
        <v>Noctis oklop</v>
      </c>
      <c r="M155" s="26"/>
      <c r="N155" s="26"/>
      <c r="O155" s="26"/>
      <c r="P155" s="26"/>
      <c r="Q155" s="26"/>
      <c r="R155" s="26"/>
      <c r="S155" s="26"/>
      <c r="T155" s="26"/>
      <c r="U155" s="26"/>
      <c r="V155" s="26"/>
      <c r="W155" s="26"/>
      <c r="X155" s="26"/>
      <c r="Y155" s="26"/>
      <c r="Z155" s="26"/>
      <c r="AA155" s="26"/>
      <c r="AB155" s="26"/>
    </row>
    <row r="156">
      <c r="A156" s="21" t="s">
        <v>739</v>
      </c>
      <c r="B156" s="22" t="s">
        <v>740</v>
      </c>
      <c r="C156" s="23" t="str">
        <f>IFERROR(__xludf.DUMMYFUNCTION("GOOGLETRANSLATE(B156, ""en"", ""fr"")"),"Angoissant! Augmente votre statistique de mêlée pendant que vous êtes porté.")</f>
        <v>Angoissant! Augmente votre statistique de mêlée pendant que vous êtes porté.</v>
      </c>
      <c r="D156" s="23" t="str">
        <f>IFERROR(__xludf.DUMMYFUNCTION("GOOGLETRANSLATE(B156, ""en"", ""es"")"),"¡Aterrador! Aumenta tu estadística cuerpo a cuerpo mientras se usa.")</f>
        <v>¡Aterrador! Aumenta tu estadística cuerpo a cuerpo mientras se usa.</v>
      </c>
      <c r="E156" s="23" t="str">
        <f>IFERROR(__xludf.DUMMYFUNCTION("GOOGLETRANSLATE(B156, ""en"", ""ru"")"),"Страшный! Увеличивает статистику ближнего боя во время ношения.")</f>
        <v>Страшный! Увеличивает статистику ближнего боя во время ношения.</v>
      </c>
      <c r="F156" s="23" t="str">
        <f>IFERROR(__xludf.DUMMYFUNCTION("GOOGLETRANSLATE(B156, ""en"", ""tr"")"),"Korkutucu! Yıpranmışken yakın dövüş statınızı artırır.")</f>
        <v>Korkutucu! Yıpranmışken yakın dövüş statınızı artırır.</v>
      </c>
      <c r="G156" s="23" t="str">
        <f>IFERROR(__xludf.DUMMYFUNCTION("GOOGLETRANSLATE(B156, ""en"", ""pt"")"),"Apavorante! Aumenta sua estatística corpo a corpo enquanto usava.")</f>
        <v>Apavorante! Aumenta sua estatística corpo a corpo enquanto usava.</v>
      </c>
      <c r="H156" s="24" t="str">
        <f>IFERROR(__xludf.DUMMYFUNCTION("GOOGLETRANSLATE(B156, ""en"", ""de"")"),"Gruselig! Erhöht Ihren Nahkampfstat, während Sie getragen werden.")</f>
        <v>Gruselig! Erhöht Ihren Nahkampfstat, während Sie getragen werden.</v>
      </c>
      <c r="I156" s="23" t="str">
        <f>IFERROR(__xludf.DUMMYFUNCTION("GOOGLETRANSLATE(B156, ""en"", ""pl"")"),"Straszny! Zwiększa wręcz w zwarciu podczas noszenia.")</f>
        <v>Straszny! Zwiększa wręcz w zwarciu podczas noszenia.</v>
      </c>
      <c r="J156" s="25" t="str">
        <f>IFERROR(__xludf.DUMMYFUNCTION("GOOGLETRANSLATE(B156, ""en"", ""zh"")"),"害怕！磨损时会增加近战统计数据。")</f>
        <v>害怕！磨损时会增加近战统计数据。</v>
      </c>
      <c r="K156" s="25" t="str">
        <f>IFERROR(__xludf.DUMMYFUNCTION("GOOGLETRANSLATE(B156, ""en"", ""vi"")"),"Đáng sợ! Tăng chỉ số cận chiến của bạn trong khi bị mòn.")</f>
        <v>Đáng sợ! Tăng chỉ số cận chiến của bạn trong khi bị mòn.</v>
      </c>
      <c r="L156" s="42" t="str">
        <f>IFERROR(__xludf.DUMMYFUNCTION("GOOGLETRANSLATE(B156, ""en"", ""hr"")"),"Zastrašujuće! Povećava svoj stat u melee dok se nosi.")</f>
        <v>Zastrašujuće! Povećava svoj stat u melee dok se nosi.</v>
      </c>
      <c r="M156" s="26"/>
      <c r="N156" s="26"/>
      <c r="O156" s="26"/>
      <c r="P156" s="26"/>
      <c r="Q156" s="26"/>
      <c r="R156" s="26"/>
      <c r="S156" s="26"/>
      <c r="T156" s="26"/>
      <c r="U156" s="26"/>
      <c r="V156" s="26"/>
      <c r="W156" s="26"/>
      <c r="X156" s="26"/>
      <c r="Y156" s="26"/>
      <c r="Z156" s="26"/>
      <c r="AA156" s="26"/>
      <c r="AB156" s="26"/>
    </row>
    <row r="157">
      <c r="A157" s="21" t="s">
        <v>741</v>
      </c>
      <c r="B157" s="22" t="s">
        <v>742</v>
      </c>
      <c r="C157" s="23" t="str">
        <f>IFERROR(__xludf.DUMMYFUNCTION("GOOGLETRANSLATE(B157, ""en"", ""fr"")"),"Croc de vampire")</f>
        <v>Croc de vampire</v>
      </c>
      <c r="D157" s="23" t="str">
        <f>IFERROR(__xludf.DUMMYFUNCTION("GOOGLETRANSLATE(B157, ""en"", ""es"")"),"Colmillo de vampiro")</f>
        <v>Colmillo de vampiro</v>
      </c>
      <c r="E157" s="23" t="str">
        <f>IFERROR(__xludf.DUMMYFUNCTION("GOOGLETRANSLATE(B157, ""en"", ""ru"")"),"Вампирский клык")</f>
        <v>Вампирский клык</v>
      </c>
      <c r="F157" s="23" t="str">
        <f>IFERROR(__xludf.DUMMYFUNCTION("GOOGLETRANSLATE(B157, ""en"", ""tr"")"),"Vampir dişi")</f>
        <v>Vampir dişi</v>
      </c>
      <c r="G157" s="23" t="str">
        <f>IFERROR(__xludf.DUMMYFUNCTION("GOOGLETRANSLATE(B157, ""en"", ""pt"")"),"Vampire Fang")</f>
        <v>Vampire Fang</v>
      </c>
      <c r="H157" s="24" t="str">
        <f>IFERROR(__xludf.DUMMYFUNCTION("GOOGLETRANSLATE(B157, ""en"", ""de"")"),"Vampire Fang")</f>
        <v>Vampire Fang</v>
      </c>
      <c r="I157" s="23" t="str">
        <f>IFERROR(__xludf.DUMMYFUNCTION("GOOGLETRANSLATE(B157, ""en"", ""pl"")"),"Fang wampirów")</f>
        <v>Fang wampirów</v>
      </c>
      <c r="J157" s="25" t="str">
        <f>IFERROR(__xludf.DUMMYFUNCTION("GOOGLETRANSLATE(B157, ""en"", ""zh"")"),"吸血鬼")</f>
        <v>吸血鬼</v>
      </c>
      <c r="K157" s="25" t="str">
        <f>IFERROR(__xludf.DUMMYFUNCTION("GOOGLETRANSLATE(B157, ""en"", ""vi"")"),"Ma cà rồng Fang")</f>
        <v>Ma cà rồng Fang</v>
      </c>
      <c r="L157" s="42" t="str">
        <f>IFERROR(__xludf.DUMMYFUNCTION("GOOGLETRANSLATE(B157, ""en"", ""hr"")"),"Vampir fang")</f>
        <v>Vampir fang</v>
      </c>
      <c r="M157" s="26"/>
      <c r="N157" s="26"/>
      <c r="O157" s="26"/>
      <c r="P157" s="26"/>
      <c r="Q157" s="26"/>
      <c r="R157" s="26"/>
      <c r="S157" s="26"/>
      <c r="T157" s="26"/>
      <c r="U157" s="26"/>
      <c r="V157" s="26"/>
      <c r="W157" s="26"/>
      <c r="X157" s="26"/>
      <c r="Y157" s="26"/>
      <c r="Z157" s="26"/>
      <c r="AA157" s="26"/>
      <c r="AB157" s="26"/>
    </row>
    <row r="158">
      <c r="A158" s="21" t="s">
        <v>743</v>
      </c>
      <c r="B158" s="22" t="s">
        <v>744</v>
      </c>
      <c r="C158" s="23" t="str">
        <f>IFERROR(__xludf.DUMMYFUNCTION("GOOGLETRANSLATE(B158, ""en"", ""fr"")"),"Arme de mêlée. Très courte portée, mais vous guérit quand il frappe.")</f>
        <v>Arme de mêlée. Très courte portée, mais vous guérit quand il frappe.</v>
      </c>
      <c r="D158" s="23" t="str">
        <f>IFERROR(__xludf.DUMMYFUNCTION("GOOGLETRANSLATE(B158, ""en"", ""es"")"),"Arma cuerpo a cuerpo. Muy corto alcance, pero te cura cuando golpea.")</f>
        <v>Arma cuerpo a cuerpo. Muy corto alcance, pero te cura cuando golpea.</v>
      </c>
      <c r="E158" s="23" t="str">
        <f>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IFERROR(__xludf.DUMMYFUNCTION("GOOGLETRANSLATE(B158, ""en"", ""tr"")"),"Yakın dövüş silahı. Çok kısa menzilli, ama vurduğunda sizi iyileştirir.")</f>
        <v>Yakın dövüş silahı. Çok kısa menzilli, ama vurduğunda sizi iyileştirir.</v>
      </c>
      <c r="G158" s="23" t="str">
        <f>IFERROR(__xludf.DUMMYFUNCTION("GOOGLETRANSLATE(B158, ""en"", ""pt"")"),"Arma branca. Faixa muito curta, mas cura você quando atinge.")</f>
        <v>Arma branca. Faixa muito curta, mas cura você quando atinge.</v>
      </c>
      <c r="H158" s="24" t="str">
        <f>IFERROR(__xludf.DUMMYFUNCTION("GOOGLETRANSLATE(B158, ""en"", ""de"")"),"Nahkampfwaffe. Sehr kurzer Reichweite, aber heilt dich, wenn es trifft.")</f>
        <v>Nahkampfwaffe. Sehr kurzer Reichweite, aber heilt dich, wenn es trifft.</v>
      </c>
      <c r="I158" s="23" t="str">
        <f>IFERROR(__xludf.DUMMYFUNCTION("GOOGLETRANSLATE(B158, ""en"", ""pl"")"),"Broń biała. Bardzo krótki zasięg, ale leczy cię, gdy uderza.")</f>
        <v>Broń biała. Bardzo krótki zasięg, ale leczy cię, gdy uderza.</v>
      </c>
      <c r="J158" s="25" t="str">
        <f>IFERROR(__xludf.DUMMYFUNCTION("GOOGLETRANSLATE(B158, ""en"", ""zh"")"),"近战武器。射程很短，但是当它撞击时可以治愈您。")</f>
        <v>近战武器。射程很短，但是当它撞击时可以治愈您。</v>
      </c>
      <c r="K158" s="25" t="str">
        <f>IFERROR(__xludf.DUMMYFUNCTION("GOOGLETRANSLATE(B158, ""en"", ""vi"")"),"Vũ khí cận chiến. Phạm vi rất ngắn, nhưng chữa lành bạn khi nó đánh.")</f>
        <v>Vũ khí cận chiến. Phạm vi rất ngắn, nhưng chữa lành bạn khi nó đánh.</v>
      </c>
      <c r="L158" s="42" t="str">
        <f>IFERROR(__xludf.DUMMYFUNCTION("GOOGLETRANSLATE(B158, ""en"", ""hr"")"),"Oružje od melee. Vrlo kratak domet, ali liječi vas kad udari.")</f>
        <v>Oružje od melee. Vrlo kratak domet, ali liječi vas kad udari.</v>
      </c>
      <c r="M158" s="26"/>
      <c r="N158" s="26"/>
      <c r="O158" s="26"/>
      <c r="P158" s="26"/>
      <c r="Q158" s="26"/>
      <c r="R158" s="26"/>
      <c r="S158" s="26"/>
      <c r="T158" s="26"/>
      <c r="U158" s="26"/>
      <c r="V158" s="26"/>
      <c r="W158" s="26"/>
      <c r="X158" s="26"/>
      <c r="Y158" s="26"/>
      <c r="Z158" s="26"/>
      <c r="AA158" s="26"/>
      <c r="AB158" s="26"/>
    </row>
    <row r="159">
      <c r="A159" s="21" t="s">
        <v>745</v>
      </c>
      <c r="B159" s="22" t="s">
        <v>746</v>
      </c>
      <c r="C159" s="23" t="str">
        <f>IFERROR(__xludf.DUMMYFUNCTION("GOOGLETRANSLATE(B159, ""en"", ""fr"")"),"Arc de pin")</f>
        <v>Arc de pin</v>
      </c>
      <c r="D159" s="23" t="str">
        <f>IFERROR(__xludf.DUMMYFUNCTION("GOOGLETRANSLATE(B159, ""en"", ""es"")"),"Arco de pino")</f>
        <v>Arco de pino</v>
      </c>
      <c r="E159" s="23" t="str">
        <f>IFERROR(__xludf.DUMMYFUNCTION("GOOGLETRANSLATE(B159, ""en"", ""ru"")"),"Сосновый лук")</f>
        <v>Сосновый лук</v>
      </c>
      <c r="F159" s="23" t="str">
        <f>IFERROR(__xludf.DUMMYFUNCTION("GOOGLETRANSLATE(B159, ""en"", ""tr"")"),"Çamur")</f>
        <v>Çamur</v>
      </c>
      <c r="G159" s="23" t="str">
        <f>IFERROR(__xludf.DUMMYFUNCTION("GOOGLETRANSLATE(B159, ""en"", ""pt"")"),"Arco de pinheiro")</f>
        <v>Arco de pinheiro</v>
      </c>
      <c r="H159" s="24" t="str">
        <f>IFERROR(__xludf.DUMMYFUNCTION("GOOGLETRANSLATE(B159, ""en"", ""de"")"),"Kiefernbogen")</f>
        <v>Kiefernbogen</v>
      </c>
      <c r="I159" s="23" t="str">
        <f>IFERROR(__xludf.DUMMYFUNCTION("GOOGLETRANSLATE(B159, ""en"", ""pl"")"),"Pine Bow")</f>
        <v>Pine Bow</v>
      </c>
      <c r="J159" s="25" t="str">
        <f>IFERROR(__xludf.DUMMYFUNCTION("GOOGLETRANSLATE(B159, ""en"", ""zh"")"),"松弓")</f>
        <v>松弓</v>
      </c>
      <c r="K159" s="25" t="str">
        <f>IFERROR(__xludf.DUMMYFUNCTION("GOOGLETRANSLATE(B159, ""en"", ""vi"")"),"Cây thông")</f>
        <v>Cây thông</v>
      </c>
      <c r="L159" s="42" t="str">
        <f>IFERROR(__xludf.DUMMYFUNCTION("GOOGLETRANSLATE(B159, ""en"", ""hr"")"),"Borovi luk")</f>
        <v>Borovi luk</v>
      </c>
      <c r="M159" s="26"/>
      <c r="N159" s="26"/>
      <c r="O159" s="26"/>
      <c r="P159" s="26"/>
      <c r="Q159" s="26"/>
      <c r="R159" s="26"/>
      <c r="S159" s="26"/>
      <c r="T159" s="26"/>
      <c r="U159" s="26"/>
      <c r="V159" s="26"/>
      <c r="W159" s="26"/>
      <c r="X159" s="26"/>
      <c r="Y159" s="26"/>
      <c r="Z159" s="26"/>
      <c r="AA159" s="26"/>
      <c r="AB159" s="26"/>
    </row>
    <row r="160">
      <c r="A160" s="21" t="s">
        <v>747</v>
      </c>
      <c r="B160" s="22" t="s">
        <v>748</v>
      </c>
      <c r="C160" s="23" t="str">
        <f>IFERROR(__xludf.DUMMYFUNCTION("GOOGLETRANSLATE(B160, ""en"", ""fr"")"),"Une arme longue à distance faible pour tirer des flèches.")</f>
        <v>Une arme longue à distance faible pour tirer des flèches.</v>
      </c>
      <c r="D160" s="23" t="str">
        <f>IFERROR(__xludf.DUMMYFUNCTION("GOOGLETRANSLATE(B160, ""en"", ""es"")"),"Un arma débil a distancia para disparar flechas.")</f>
        <v>Un arma débil a distancia para disparar flechas.</v>
      </c>
      <c r="E160" s="23" t="str">
        <f>IFERROR(__xludf.DUMMYFUNCTION("GOOGLETRANSLATE(B160, ""en"", ""ru"")"),"Слабое длинное оружие с стрельбой.")</f>
        <v>Слабое длинное оружие с стрельбой.</v>
      </c>
      <c r="F160" s="23" t="str">
        <f>IFERROR(__xludf.DUMMYFUNCTION("GOOGLETRANSLATE(B160, ""en"", ""tr"")"),"Okları vurmak için zayıf uzun menzilli bir silah.")</f>
        <v>Okları vurmak için zayıf uzun menzilli bir silah.</v>
      </c>
      <c r="G160" s="23" t="str">
        <f>IFERROR(__xludf.DUMMYFUNCTION("GOOGLETRANSLATE(B160, ""en"", ""pt"")"),"Uma arma fraca de longo alcance para atirar flechas.")</f>
        <v>Uma arma fraca de longo alcance para atirar flechas.</v>
      </c>
      <c r="H160" s="24" t="str">
        <f>IFERROR(__xludf.DUMMYFUNCTION("GOOGLETRANSLATE(B160, ""en"", ""de"")"),"Eine schwache lange Fernkampfwaffe, um Pfeile zu schießen.")</f>
        <v>Eine schwache lange Fernkampfwaffe, um Pfeile zu schießen.</v>
      </c>
      <c r="I160" s="23" t="str">
        <f>IFERROR(__xludf.DUMMYFUNCTION("GOOGLETRANSLATE(B160, ""en"", ""pl"")"),"Słaba, długa broń do strzelania do strzał.")</f>
        <v>Słaba, długa broń do strzelania do strzał.</v>
      </c>
      <c r="J160" s="25" t="str">
        <f>IFERROR(__xludf.DUMMYFUNCTION("GOOGLETRANSLATE(B160, ""en"", ""zh"")"),"弱的远程武器射击箭。")</f>
        <v>弱的远程武器射击箭。</v>
      </c>
      <c r="K160" s="25" t="str">
        <f>IFERROR(__xludf.DUMMYFUNCTION("GOOGLETRANSLATE(B160, ""en"", ""vi"")"),"Một vũ khí tầm xa yếu để bắn mũi tên.")</f>
        <v>Một vũ khí tầm xa yếu để bắn mũi tên.</v>
      </c>
      <c r="L160" s="42" t="str">
        <f>IFERROR(__xludf.DUMMYFUNCTION("GOOGLETRANSLATE(B160, ""en"", ""hr"")"),"Slabo oružje s dugim rasponom za pucanje strelica.")</f>
        <v>Slabo oružje s dugim rasponom za pucanje strelica.</v>
      </c>
      <c r="M160" s="26"/>
      <c r="N160" s="26"/>
      <c r="O160" s="26"/>
      <c r="P160" s="26"/>
      <c r="Q160" s="26"/>
      <c r="R160" s="26"/>
      <c r="S160" s="26"/>
      <c r="T160" s="26"/>
      <c r="U160" s="26"/>
      <c r="V160" s="26"/>
      <c r="W160" s="26"/>
      <c r="X160" s="26"/>
      <c r="Y160" s="26"/>
      <c r="Z160" s="26"/>
      <c r="AA160" s="26"/>
      <c r="AB160" s="26"/>
    </row>
    <row r="161">
      <c r="A161" s="21" t="s">
        <v>749</v>
      </c>
      <c r="B161" s="22" t="s">
        <v>750</v>
      </c>
      <c r="C161" s="23" t="str">
        <f>IFERROR(__xludf.DUMMYFUNCTION("GOOGLETRANSLATE(B161, ""en"", ""fr"")"),"Willow Bow")</f>
        <v>Willow Bow</v>
      </c>
      <c r="D161" s="23" t="str">
        <f>IFERROR(__xludf.DUMMYFUNCTION("GOOGLETRANSLATE(B161, ""en"", ""es"")"),"Blow Bow")</f>
        <v>Blow Bow</v>
      </c>
      <c r="E161" s="23" t="str">
        <f>IFERROR(__xludf.DUMMYFUNCTION("GOOGLETRANSLATE(B161, ""en"", ""ru"")"),"Уиллоу лук")</f>
        <v>Уиллоу лук</v>
      </c>
      <c r="F161" s="23" t="str">
        <f>IFERROR(__xludf.DUMMYFUNCTION("GOOGLETRANSLATE(B161, ""en"", ""tr"")"),"Söğüt Yay")</f>
        <v>Söğüt Yay</v>
      </c>
      <c r="G161" s="23" t="str">
        <f>IFERROR(__xludf.DUMMYFUNCTION("GOOGLETRANSLATE(B161, ""en"", ""pt"")"),"Willow Bow")</f>
        <v>Willow Bow</v>
      </c>
      <c r="H161" s="24" t="str">
        <f>IFERROR(__xludf.DUMMYFUNCTION("GOOGLETRANSLATE(B161, ""en"", ""de"")"),"Weidenbogen")</f>
        <v>Weidenbogen</v>
      </c>
      <c r="I161" s="23" t="str">
        <f>IFERROR(__xludf.DUMMYFUNCTION("GOOGLETRANSLATE(B161, ""en"", ""pl"")"),"Kokar Willow")</f>
        <v>Kokar Willow</v>
      </c>
      <c r="J161" s="25" t="str">
        <f>IFERROR(__xludf.DUMMYFUNCTION("GOOGLETRANSLATE(B161, ""en"", ""zh"")"),"柳弓")</f>
        <v>柳弓</v>
      </c>
      <c r="K161" s="25" t="str">
        <f>IFERROR(__xludf.DUMMYFUNCTION("GOOGLETRANSLATE(B161, ""en"", ""vi"")"),"Cung cây liễu")</f>
        <v>Cung cây liễu</v>
      </c>
      <c r="L161" s="42" t="str">
        <f>IFERROR(__xludf.DUMMYFUNCTION("GOOGLETRANSLATE(B161, ""en"", ""hr"")"),"Luk")</f>
        <v>Luk</v>
      </c>
      <c r="M161" s="26"/>
      <c r="N161" s="26"/>
      <c r="O161" s="26"/>
      <c r="P161" s="26"/>
      <c r="Q161" s="26"/>
      <c r="R161" s="26"/>
      <c r="S161" s="26"/>
      <c r="T161" s="26"/>
      <c r="U161" s="26"/>
      <c r="V161" s="26"/>
      <c r="W161" s="26"/>
      <c r="X161" s="26"/>
      <c r="Y161" s="26"/>
      <c r="Z161" s="26"/>
      <c r="AA161" s="26"/>
      <c r="AB161" s="26"/>
    </row>
    <row r="162">
      <c r="A162" s="21" t="s">
        <v>751</v>
      </c>
      <c r="B162" s="22" t="s">
        <v>752</v>
      </c>
      <c r="C162" s="23" t="str">
        <f>IFERROR(__xludf.DUMMYFUNCTION("GOOGLETRANSLATE(B162, ""en"", ""fr"")"),"Une bonne arme à distance longue pour tirer des flèches.")</f>
        <v>Une bonne arme à distance longue pour tirer des flèches.</v>
      </c>
      <c r="D162" s="23" t="str">
        <f>IFERROR(__xludf.DUMMYFUNCTION("GOOGLETRANSLATE(B162, ""en"", ""es"")"),"Un buen arma a distancia para disparar flechas.")</f>
        <v>Un buen arma a distancia para disparar flechas.</v>
      </c>
      <c r="E162" s="23" t="str">
        <f>IFERROR(__xludf.DUMMYFUNCTION("GOOGLETRANSLATE(B162, ""en"", ""ru"")"),"Хорошее длинное оружие, чтобы стрелять в стрелы.")</f>
        <v>Хорошее длинное оружие, чтобы стрелять в стрелы.</v>
      </c>
      <c r="F162" s="23" t="str">
        <f>IFERROR(__xludf.DUMMYFUNCTION("GOOGLETRANSLATE(B162, ""en"", ""tr"")"),"Okları çekmek için iyi bir uzun menzilli silah.")</f>
        <v>Okları çekmek için iyi bir uzun menzilli silah.</v>
      </c>
      <c r="G162" s="23" t="str">
        <f>IFERROR(__xludf.DUMMYFUNCTION("GOOGLETRANSLATE(B162, ""en"", ""pt"")"),"Uma boa arma longa de longo alcance para disparar flechas.")</f>
        <v>Uma boa arma longa de longo alcance para disparar flechas.</v>
      </c>
      <c r="H162" s="24" t="str">
        <f>IFERROR(__xludf.DUMMYFUNCTION("GOOGLETRANSLATE(B162, ""en"", ""de"")"),"Eine gute lang Fernkampfwaffe, um Pfeile zu schießen.")</f>
        <v>Eine gute lang Fernkampfwaffe, um Pfeile zu schießen.</v>
      </c>
      <c r="I162" s="23" t="str">
        <f>IFERROR(__xludf.DUMMYFUNCTION("GOOGLETRANSLATE(B162, ""en"", ""pl"")"),"Dobra długa broń do strzelania do strzał.")</f>
        <v>Dobra długa broń do strzelania do strzał.</v>
      </c>
      <c r="J162" s="25" t="str">
        <f>IFERROR(__xludf.DUMMYFUNCTION("GOOGLETRANSLATE(B162, ""en"", ""zh"")"),"一个很好的长距离武器来射击箭。")</f>
        <v>一个很好的长距离武器来射击箭。</v>
      </c>
      <c r="K162" s="25" t="str">
        <f>IFERROR(__xludf.DUMMYFUNCTION("GOOGLETRANSLATE(B162, ""en"", ""vi"")"),"Một vũ khí tầm xa tốt để bắn mũi tên.")</f>
        <v>Một vũ khí tầm xa tốt để bắn mũi tên.</v>
      </c>
      <c r="L162" s="42" t="str">
        <f>IFERROR(__xludf.DUMMYFUNCTION("GOOGLETRANSLATE(B162, ""en"", ""hr"")"),"Dobra dugačka oružja za pucanje strelica.")</f>
        <v>Dobra dugačka oružja za pucanje strelica.</v>
      </c>
      <c r="M162" s="26"/>
      <c r="N162" s="26"/>
      <c r="O162" s="26"/>
      <c r="P162" s="26"/>
      <c r="Q162" s="26"/>
      <c r="R162" s="26"/>
      <c r="S162" s="26"/>
      <c r="T162" s="26"/>
      <c r="U162" s="26"/>
      <c r="V162" s="26"/>
      <c r="W162" s="26"/>
      <c r="X162" s="26"/>
      <c r="Y162" s="26"/>
      <c r="Z162" s="26"/>
      <c r="AA162" s="26"/>
      <c r="AB162" s="26"/>
    </row>
    <row r="163">
      <c r="A163" s="21" t="s">
        <v>753</v>
      </c>
      <c r="B163" s="22" t="s">
        <v>754</v>
      </c>
      <c r="C163" s="23" t="str">
        <f>IFERROR(__xludf.DUMMYFUNCTION("GOOGLETRANSLATE(B163, ""en"", ""fr"")"),"Noix de chêne")</f>
        <v>Noix de chêne</v>
      </c>
      <c r="D163" s="23" t="str">
        <f>IFERROR(__xludf.DUMMYFUNCTION("GOOGLETRANSLATE(B163, ""en"", ""es"")"),"Arco de roble")</f>
        <v>Arco de roble</v>
      </c>
      <c r="E163" s="23" t="str">
        <f>IFERROR(__xludf.DUMMYFUNCTION("GOOGLETRANSLATE(B163, ""en"", ""ru"")"),"Дубовый лук")</f>
        <v>Дубовый лук</v>
      </c>
      <c r="F163" s="23" t="str">
        <f>IFERROR(__xludf.DUMMYFUNCTION("GOOGLETRANSLATE(B163, ""en"", ""tr"")"),"Meşe yay")</f>
        <v>Meşe yay</v>
      </c>
      <c r="G163" s="23" t="str">
        <f>IFERROR(__xludf.DUMMYFUNCTION("GOOGLETRANSLATE(B163, ""en"", ""pt"")"),"Oak Bow")</f>
        <v>Oak Bow</v>
      </c>
      <c r="H163" s="24" t="str">
        <f>IFERROR(__xludf.DUMMYFUNCTION("GOOGLETRANSLATE(B163, ""en"", ""de"")"),"Eichenbogen")</f>
        <v>Eichenbogen</v>
      </c>
      <c r="I163" s="23" t="str">
        <f>IFERROR(__xludf.DUMMYFUNCTION("GOOGLETRANSLATE(B163, ""en"", ""pl"")"),"Dębowy łuk")</f>
        <v>Dębowy łuk</v>
      </c>
      <c r="J163" s="25" t="str">
        <f>IFERROR(__xludf.DUMMYFUNCTION("GOOGLETRANSLATE(B163, ""en"", ""zh"")"),"橡树弓")</f>
        <v>橡树弓</v>
      </c>
      <c r="K163" s="25" t="str">
        <f>IFERROR(__xludf.DUMMYFUNCTION("GOOGLETRANSLATE(B163, ""en"", ""vi"")"),"Cây sồi cung")</f>
        <v>Cây sồi cung</v>
      </c>
      <c r="L163" s="42" t="str">
        <f>IFERROR(__xludf.DUMMYFUNCTION("GOOGLETRANSLATE(B163, ""en"", ""hr"")"),"Hrastov luk")</f>
        <v>Hrastov luk</v>
      </c>
      <c r="M163" s="26"/>
      <c r="N163" s="26"/>
      <c r="O163" s="26"/>
      <c r="P163" s="26"/>
      <c r="Q163" s="26"/>
      <c r="R163" s="26"/>
      <c r="S163" s="26"/>
      <c r="T163" s="26"/>
      <c r="U163" s="26"/>
      <c r="V163" s="26"/>
      <c r="W163" s="26"/>
      <c r="X163" s="26"/>
      <c r="Y163" s="26"/>
      <c r="Z163" s="26"/>
      <c r="AA163" s="26"/>
      <c r="AB163" s="26"/>
    </row>
    <row r="164">
      <c r="A164" s="21" t="s">
        <v>755</v>
      </c>
      <c r="B164" s="22" t="s">
        <v>756</v>
      </c>
      <c r="C164" s="23" t="str">
        <f>IFERROR(__xludf.DUMMYFUNCTION("GOOGLETRANSLATE(B164, ""en"", ""fr"")"),"Une arme longue à distance forte pour tirer des flèches.")</f>
        <v>Une arme longue à distance forte pour tirer des flèches.</v>
      </c>
      <c r="D164" s="23" t="str">
        <f>IFERROR(__xludf.DUMMYFUNCTION("GOOGLETRANSLATE(B164, ""en"", ""es"")"),"Un arma fuerte a distancia para disparar flechas.")</f>
        <v>Un arma fuerte a distancia para disparar flechas.</v>
      </c>
      <c r="E164" s="23" t="str">
        <f>IFERROR(__xludf.DUMMYFUNCTION("GOOGLETRANSLATE(B164, ""en"", ""ru"")"),"Сильное длинное оружие с стрельбой для стрельбы.")</f>
        <v>Сильное длинное оружие с стрельбой для стрельбы.</v>
      </c>
      <c r="F164" s="23" t="str">
        <f>IFERROR(__xludf.DUMMYFUNCTION("GOOGLETRANSLATE(B164, ""en"", ""tr"")"),"Güçlü uzun menzilli bir silah okları vurmak.")</f>
        <v>Güçlü uzun menzilli bir silah okları vurmak.</v>
      </c>
      <c r="G164" s="23" t="str">
        <f>IFERROR(__xludf.DUMMYFUNCTION("GOOGLETRANSLATE(B164, ""en"", ""pt"")"),"Uma arma forte de longo alcance para atirar flechas.")</f>
        <v>Uma arma forte de longo alcance para atirar flechas.</v>
      </c>
      <c r="H164" s="24" t="str">
        <f>IFERROR(__xludf.DUMMYFUNCTION("GOOGLETRANSLATE(B164, ""en"", ""de"")"),"Eine starke lang Fernkampfwaffe, um Pfeile zu schießen.")</f>
        <v>Eine starke lang Fernkampfwaffe, um Pfeile zu schießen.</v>
      </c>
      <c r="I164" s="23" t="str">
        <f>IFERROR(__xludf.DUMMYFUNCTION("GOOGLETRANSLATE(B164, ""en"", ""pl"")"),"Silna długa broń do strzelania do strzał.")</f>
        <v>Silna długa broń do strzelania do strzał.</v>
      </c>
      <c r="J164" s="25" t="str">
        <f>IFERROR(__xludf.DUMMYFUNCTION("GOOGLETRANSLATE(B164, ""en"", ""zh"")"),"强大的长距离武器射击箭。")</f>
        <v>强大的长距离武器射击箭。</v>
      </c>
      <c r="K164" s="25" t="str">
        <f>IFERROR(__xludf.DUMMYFUNCTION("GOOGLETRANSLATE(B164, ""en"", ""vi"")"),"Một vũ khí tầm xa mạnh mẽ để bắn mũi tên.")</f>
        <v>Một vũ khí tầm xa mạnh mẽ để bắn mũi tên.</v>
      </c>
      <c r="L164" s="42" t="str">
        <f>IFERROR(__xludf.DUMMYFUNCTION("GOOGLETRANSLATE(B164, ""en"", ""hr"")"),"Snažno oružje s dugim rasponom za pucanje strelica.")</f>
        <v>Snažno oružje s dugim rasponom za pucanje strelica.</v>
      </c>
      <c r="M164" s="26"/>
      <c r="N164" s="26"/>
      <c r="O164" s="26"/>
      <c r="P164" s="26"/>
      <c r="Q164" s="26"/>
      <c r="R164" s="26"/>
      <c r="S164" s="26"/>
      <c r="T164" s="26"/>
      <c r="U164" s="26"/>
      <c r="V164" s="26"/>
      <c r="W164" s="26"/>
      <c r="X164" s="26"/>
      <c r="Y164" s="26"/>
      <c r="Z164" s="26"/>
      <c r="AA164" s="26"/>
      <c r="AB164" s="26"/>
    </row>
    <row r="165">
      <c r="A165" s="45" t="s">
        <v>757</v>
      </c>
      <c r="B165" s="46" t="s">
        <v>758</v>
      </c>
      <c r="C165" s="23" t="str">
        <f>IFERROR(__xludf.DUMMYFUNCTION("GOOGLETRANSLATE(B165, ""en"", ""fr"")"),"Flèches de glace")</f>
        <v>Flèches de glace</v>
      </c>
      <c r="D165" s="23" t="str">
        <f>IFERROR(__xludf.DUMMYFUNCTION("GOOGLETRANSLATE(B165, ""en"", ""es"")"),"Flechas de hielo")</f>
        <v>Flechas de hielo</v>
      </c>
      <c r="E165" s="23" t="str">
        <f>IFERROR(__xludf.DUMMYFUNCTION("GOOGLETRANSLATE(B165, ""en"", ""ru"")"),"Ледяные стрелы")</f>
        <v>Ледяные стрелы</v>
      </c>
      <c r="F165" s="23" t="str">
        <f>IFERROR(__xludf.DUMMYFUNCTION("GOOGLETRANSLATE(B165, ""en"", ""tr"")"),"Buz okları")</f>
        <v>Buz okları</v>
      </c>
      <c r="G165" s="23" t="str">
        <f>IFERROR(__xludf.DUMMYFUNCTION("GOOGLETRANSLATE(B165, ""en"", ""pt"")"),"Flechas de gelo")</f>
        <v>Flechas de gelo</v>
      </c>
      <c r="H165" s="24" t="str">
        <f>IFERROR(__xludf.DUMMYFUNCTION("GOOGLETRANSLATE(B165, ""en"", ""de"")"),"Eispfeile")</f>
        <v>Eispfeile</v>
      </c>
      <c r="I165" s="23" t="str">
        <f>IFERROR(__xludf.DUMMYFUNCTION("GOOGLETRANSLATE(B165, ""en"", ""pl"")"),"Strzałki lodowe")</f>
        <v>Strzałki lodowe</v>
      </c>
      <c r="J165" s="25" t="str">
        <f>IFERROR(__xludf.DUMMYFUNCTION("GOOGLETRANSLATE(B165, ""en"", ""zh"")"),"冰箭")</f>
        <v>冰箭</v>
      </c>
      <c r="K165" s="25" t="str">
        <f>IFERROR(__xludf.DUMMYFUNCTION("GOOGLETRANSLATE(B165, ""en"", ""vi"")"),"Mũi tên băng")</f>
        <v>Mũi tên băng</v>
      </c>
      <c r="L165" s="42" t="str">
        <f>IFERROR(__xludf.DUMMYFUNCTION("GOOGLETRANSLATE(B165, ""en"", ""hr"")"),"Ledene strelice")</f>
        <v>Ledene strelice</v>
      </c>
      <c r="M165" s="26"/>
      <c r="N165" s="26"/>
      <c r="O165" s="26"/>
      <c r="P165" s="26"/>
      <c r="Q165" s="26"/>
      <c r="R165" s="26"/>
      <c r="S165" s="26"/>
      <c r="T165" s="26"/>
      <c r="U165" s="26"/>
      <c r="V165" s="26"/>
      <c r="W165" s="26"/>
      <c r="X165" s="26"/>
      <c r="Y165" s="26"/>
      <c r="Z165" s="26"/>
      <c r="AA165" s="26"/>
      <c r="AB165" s="26"/>
    </row>
    <row r="166">
      <c r="A166" s="45" t="s">
        <v>759</v>
      </c>
      <c r="B166" s="46" t="s">
        <v>760</v>
      </c>
      <c r="C166" s="23" t="str">
        <f>IFERROR(__xludf.DUMMYFUNCTION("GOOGLETRANSLATE(B166, ""en"", ""fr"")"),"Utilisé comme munitions pour un arc. S'applique au froid lorsqu'il frappe.")</f>
        <v>Utilisé comme munitions pour un arc. S'applique au froid lorsqu'il frappe.</v>
      </c>
      <c r="D166" s="23" t="str">
        <f>IFERROR(__xludf.DUMMYFUNCTION("GOOGLETRANSLATE(B166, ""en"", ""es"")"),"Utilizado como municiones para un arco. Se aplica al frío cuando golpea.")</f>
        <v>Utilizado como municiones para un arco. Se aplica al frío cuando golpea.</v>
      </c>
      <c r="E166" s="23" t="str">
        <f>IFERROR(__xludf.DUMMYFUNCTION("GOOGLETRANSLATE(B166, ""en"", ""ru"")"),"Используется в качестве боеприпасов для лука. Применяет холод, когда он попадает.")</f>
        <v>Используется в качестве боеприпасов для лука. Применяет холод, когда он попадает.</v>
      </c>
      <c r="F166" s="23" t="str">
        <f>IFERROR(__xludf.DUMMYFUNCTION("GOOGLETRANSLATE(B166, ""en"", ""tr"")"),"Bir yay için mühimmat olarak kullanılır. Vurduğunda soğutma uygulanır.")</f>
        <v>Bir yay için mühimmat olarak kullanılır. Vurduğunda soğutma uygulanır.</v>
      </c>
      <c r="G166" s="23" t="str">
        <f>IFERROR(__xludf.DUMMYFUNCTION("GOOGLETRANSLATE(B166, ""en"", ""pt"")"),"Usado como munição para um arco. Aplica -se frio quando atinge.")</f>
        <v>Usado como munição para um arco. Aplica -se frio quando atinge.</v>
      </c>
      <c r="H166" s="24" t="str">
        <f>IFERROR(__xludf.DUMMYFUNCTION("GOOGLETRANSLATE(B166, ""en"", ""de"")"),"Als Munition für einen Bogen verwendet. Wendet kalt an, wenn es trifft.")</f>
        <v>Als Munition für einen Bogen verwendet. Wendet kalt an, wenn es trifft.</v>
      </c>
      <c r="I166" s="23" t="str">
        <f>IFERROR(__xludf.DUMMYFUNCTION("GOOGLETRANSLATE(B166, ""en"", ""pl"")"),"Używane jako amunicja do łuku. Stosuje chłód, gdy uderza.")</f>
        <v>Używane jako amunicja do łuku. Stosuje chłód, gdy uderza.</v>
      </c>
      <c r="J166" s="25" t="str">
        <f>IFERROR(__xludf.DUMMYFUNCTION("GOOGLETRANSLATE(B166, ""en"", ""zh"")"),"用作弓的弹药。击中时会施加寒意。")</f>
        <v>用作弓的弹药。击中时会施加寒意。</v>
      </c>
      <c r="K166" s="25" t="str">
        <f>IFERROR(__xludf.DUMMYFUNCTION("GOOGLETRANSLATE(B166, ""en"", ""vi"")"),"Được sử dụng làm đạn dược cho một cây cung. Áp dụng lạnh khi nó đạt.")</f>
        <v>Được sử dụng làm đạn dược cho một cây cung. Áp dụng lạnh khi nó đạt.</v>
      </c>
      <c r="L166" s="42" t="str">
        <f>IFERROR(__xludf.DUMMYFUNCTION("GOOGLETRANSLATE(B166, ""en"", ""hr"")"),"Koristi se kao municija za luk. Primjenjuje se hladnoća kad pogodi.")</f>
        <v>Koristi se kao municija za luk. Primjenjuje se hladnoća kad pogodi.</v>
      </c>
      <c r="M166" s="26"/>
      <c r="N166" s="26"/>
      <c r="O166" s="26"/>
      <c r="P166" s="26"/>
      <c r="Q166" s="26"/>
      <c r="R166" s="26"/>
      <c r="S166" s="26"/>
      <c r="T166" s="26"/>
      <c r="U166" s="26"/>
      <c r="V166" s="26"/>
      <c r="W166" s="26"/>
      <c r="X166" s="26"/>
      <c r="Y166" s="26"/>
      <c r="Z166" s="26"/>
      <c r="AA166" s="26"/>
      <c r="AB166" s="26"/>
    </row>
    <row r="167">
      <c r="A167" s="21" t="s">
        <v>761</v>
      </c>
      <c r="B167" s="22" t="s">
        <v>762</v>
      </c>
      <c r="C167" s="23" t="str">
        <f>IFERROR(__xludf.DUMMYFUNCTION("GOOGLETRANSLATE(B167, ""en"", ""fr"")"),"Flèches empoisonnées")</f>
        <v>Flèches empoisonnées</v>
      </c>
      <c r="D167" s="23" t="str">
        <f>IFERROR(__xludf.DUMMYFUNCTION("GOOGLETRANSLATE(B167, ""en"", ""es"")"),"Flechas de veneno")</f>
        <v>Flechas de veneno</v>
      </c>
      <c r="E167" s="23" t="str">
        <f>IFERROR(__xludf.DUMMYFUNCTION("GOOGLETRANSLATE(B167, ""en"", ""ru"")"),"Ядовитые стрелы")</f>
        <v>Ядовитые стрелы</v>
      </c>
      <c r="F167" s="23" t="str">
        <f>IFERROR(__xludf.DUMMYFUNCTION("GOOGLETRANSLATE(B167, ""en"", ""tr"")"),"Zehir okları")</f>
        <v>Zehir okları</v>
      </c>
      <c r="G167" s="23" t="str">
        <f>IFERROR(__xludf.DUMMYFUNCTION("GOOGLETRANSLATE(B167, ""en"", ""pt"")"),"Setas venenosas")</f>
        <v>Setas venenosas</v>
      </c>
      <c r="H167" s="24" t="str">
        <f>IFERROR(__xludf.DUMMYFUNCTION("GOOGLETRANSLATE(B167, ""en"", ""de"")"),"Giftpfeile")</f>
        <v>Giftpfeile</v>
      </c>
      <c r="I167" s="23" t="str">
        <f>IFERROR(__xludf.DUMMYFUNCTION("GOOGLETRANSLATE(B167, ""en"", ""pl"")"),"Trucizne strzały")</f>
        <v>Trucizne strzały</v>
      </c>
      <c r="J167" s="25" t="str">
        <f>IFERROR(__xludf.DUMMYFUNCTION("GOOGLETRANSLATE(B167, ""en"", ""zh"")"),"毒箭")</f>
        <v>毒箭</v>
      </c>
      <c r="K167" s="25" t="str">
        <f>IFERROR(__xludf.DUMMYFUNCTION("GOOGLETRANSLATE(B167, ""en"", ""vi"")"),"Mũi tên độc")</f>
        <v>Mũi tên độc</v>
      </c>
      <c r="L167" s="42" t="str">
        <f>IFERROR(__xludf.DUMMYFUNCTION("GOOGLETRANSLATE(B167, ""en"", ""hr"")"),"Strelice otrova")</f>
        <v>Strelice otrova</v>
      </c>
      <c r="M167" s="26"/>
      <c r="N167" s="26"/>
      <c r="O167" s="26"/>
      <c r="P167" s="26"/>
      <c r="Q167" s="26"/>
      <c r="R167" s="26"/>
      <c r="S167" s="26"/>
      <c r="T167" s="26"/>
      <c r="U167" s="26"/>
      <c r="V167" s="26"/>
      <c r="W167" s="26"/>
      <c r="X167" s="26"/>
      <c r="Y167" s="26"/>
      <c r="Z167" s="26"/>
      <c r="AA167" s="26"/>
      <c r="AB167" s="26"/>
    </row>
    <row r="168">
      <c r="A168" s="21" t="s">
        <v>763</v>
      </c>
      <c r="B168" s="22" t="s">
        <v>764</v>
      </c>
      <c r="C168" s="23" t="str">
        <f>IFERROR(__xludf.DUMMYFUNCTION("GOOGLETRANSLATE(B168, ""en"", ""fr"")"),"Utilisé comme munitions pour un arc. Applique du poison lorsqu'il frappe.")</f>
        <v>Utilisé comme munitions pour un arc. Applique du poison lorsqu'il frappe.</v>
      </c>
      <c r="D168" s="23" t="str">
        <f>IFERROR(__xludf.DUMMYFUNCTION("GOOGLETRANSLATE(B168, ""en"", ""es"")"),"Utilizado como municiones para un arco. Aplica veneno cuando golpea.")</f>
        <v>Utilizado como municiones para un arco. Aplica veneno cuando golpea.</v>
      </c>
      <c r="E168" s="23" t="str">
        <f>IFERROR(__xludf.DUMMYFUNCTION("GOOGLETRANSLATE(B168, ""en"", ""ru"")"),"Используется в качестве боеприпасов для лука. Применяет яд, когда он попадает.")</f>
        <v>Используется в качестве боеприпасов для лука. Применяет яд, когда он попадает.</v>
      </c>
      <c r="F168" s="23" t="str">
        <f>IFERROR(__xludf.DUMMYFUNCTION("GOOGLETRANSLATE(B168, ""en"", ""tr"")"),"Bir yay için mühimmat olarak kullanılır. Vurduğunda zehir uygular.")</f>
        <v>Bir yay için mühimmat olarak kullanılır. Vurduğunda zehir uygular.</v>
      </c>
      <c r="G168" s="23" t="str">
        <f>IFERROR(__xludf.DUMMYFUNCTION("GOOGLETRANSLATE(B168, ""en"", ""pt"")"),"Usado como munição para um arco. Aplica veneno quando atinge.")</f>
        <v>Usado como munição para um arco. Aplica veneno quando atinge.</v>
      </c>
      <c r="H168" s="24" t="str">
        <f>IFERROR(__xludf.DUMMYFUNCTION("GOOGLETRANSLATE(B168, ""en"", ""de"")"),"Als Munition für einen Bogen verwendet. Wendet Gift an, wenn es trifft.")</f>
        <v>Als Munition für einen Bogen verwendet. Wendet Gift an, wenn es trifft.</v>
      </c>
      <c r="I168" s="23" t="str">
        <f>IFERROR(__xludf.DUMMYFUNCTION("GOOGLETRANSLATE(B168, ""en"", ""pl"")"),"Używane jako amunicja do łuku. Stosuje truciznę, gdy się trafi.")</f>
        <v>Używane jako amunicja do łuku. Stosuje truciznę, gdy się trafi.</v>
      </c>
      <c r="J168" s="25" t="str">
        <f>IFERROR(__xludf.DUMMYFUNCTION("GOOGLETRANSLATE(B168, ""en"", ""zh"")"),"用作弓的弹药。命中毒物时应用。")</f>
        <v>用作弓的弹药。命中毒物时应用。</v>
      </c>
      <c r="K168" s="25" t="str">
        <f>IFERROR(__xludf.DUMMYFUNCTION("GOOGLETRANSLATE(B168, ""en"", ""vi"")"),"Được sử dụng làm đạn dược cho một cây cung. Áp dụng chất độc khi nó đánh.")</f>
        <v>Được sử dụng làm đạn dược cho một cây cung. Áp dụng chất độc khi nó đánh.</v>
      </c>
      <c r="L168" s="42" t="str">
        <f>IFERROR(__xludf.DUMMYFUNCTION("GOOGLETRANSLATE(B168, ""en"", ""hr"")"),"Koristi se kao municija za luk. Primjenjuje otrov kad udari.")</f>
        <v>Koristi se kao municija za luk. Primjenjuje otrov kad udari.</v>
      </c>
      <c r="M168" s="26"/>
      <c r="N168" s="26"/>
      <c r="O168" s="26"/>
      <c r="P168" s="26"/>
      <c r="Q168" s="26"/>
      <c r="R168" s="26"/>
      <c r="S168" s="26"/>
      <c r="T168" s="26"/>
      <c r="U168" s="26"/>
      <c r="V168" s="26"/>
      <c r="W168" s="26"/>
      <c r="X168" s="26"/>
      <c r="Y168" s="26"/>
      <c r="Z168" s="26"/>
      <c r="AA168" s="26"/>
      <c r="AB168" s="26"/>
    </row>
    <row r="169">
      <c r="A169" s="21" t="s">
        <v>765</v>
      </c>
      <c r="B169" s="22" t="s">
        <v>766</v>
      </c>
      <c r="C169" s="23" t="str">
        <f>IFERROR(__xludf.DUMMYFUNCTION("GOOGLETRANSLATE(B169, ""en"", ""fr"")"),"Flèches explosives")</f>
        <v>Flèches explosives</v>
      </c>
      <c r="D169" s="23" t="str">
        <f>IFERROR(__xludf.DUMMYFUNCTION("GOOGLETRANSLATE(B169, ""en"", ""es"")"),"Flechas explosivas")</f>
        <v>Flechas explosivas</v>
      </c>
      <c r="E169" s="23" t="str">
        <f>IFERROR(__xludf.DUMMYFUNCTION("GOOGLETRANSLATE(B169, ""en"", ""ru"")"),"Взрывные стрелы")</f>
        <v>Взрывные стрелы</v>
      </c>
      <c r="F169" s="23" t="str">
        <f>IFERROR(__xludf.DUMMYFUNCTION("GOOGLETRANSLATE(B169, ""en"", ""tr"")"),"Patlayıcı oklar")</f>
        <v>Patlayıcı oklar</v>
      </c>
      <c r="G169" s="23" t="str">
        <f>IFERROR(__xludf.DUMMYFUNCTION("GOOGLETRANSLATE(B169, ""en"", ""pt"")"),"Setas explosivas")</f>
        <v>Setas explosivas</v>
      </c>
      <c r="H169" s="24" t="str">
        <f>IFERROR(__xludf.DUMMYFUNCTION("GOOGLETRANSLATE(B169, ""en"", ""de"")"),"Sprengpfeile")</f>
        <v>Sprengpfeile</v>
      </c>
      <c r="I169" s="23" t="str">
        <f>IFERROR(__xludf.DUMMYFUNCTION("GOOGLETRANSLATE(B169, ""en"", ""pl"")"),"Wybuchowe strzałki")</f>
        <v>Wybuchowe strzałki</v>
      </c>
      <c r="J169" s="25" t="str">
        <f>IFERROR(__xludf.DUMMYFUNCTION("GOOGLETRANSLATE(B169, ""en"", ""zh"")"),"爆炸性箭头")</f>
        <v>爆炸性箭头</v>
      </c>
      <c r="K169" s="25" t="str">
        <f>IFERROR(__xludf.DUMMYFUNCTION("GOOGLETRANSLATE(B169, ""en"", ""vi"")"),"Mũi tên nổ")</f>
        <v>Mũi tên nổ</v>
      </c>
      <c r="L169" s="42" t="str">
        <f>IFERROR(__xludf.DUMMYFUNCTION("GOOGLETRANSLATE(B169, ""en"", ""hr"")"),"Eksplozivne strelice")</f>
        <v>Eksplozivne strelice</v>
      </c>
      <c r="M169" s="26"/>
      <c r="N169" s="26"/>
      <c r="O169" s="26"/>
      <c r="P169" s="26"/>
      <c r="Q169" s="26"/>
      <c r="R169" s="26"/>
      <c r="S169" s="26"/>
      <c r="T169" s="26"/>
      <c r="U169" s="26"/>
      <c r="V169" s="26"/>
      <c r="W169" s="26"/>
      <c r="X169" s="26"/>
      <c r="Y169" s="26"/>
      <c r="Z169" s="26"/>
      <c r="AA169" s="26"/>
      <c r="AB169" s="26"/>
    </row>
    <row r="170">
      <c r="A170" s="21" t="s">
        <v>767</v>
      </c>
      <c r="B170" s="22" t="s">
        <v>768</v>
      </c>
      <c r="C170" s="23" t="str">
        <f>IFERROR(__xludf.DUMMYFUNCTION("GOOGLETRANSLATE(B170, ""en"", ""fr"")"),"Utilisé comme munitions pour un arc. Inflige des dégâts et des brûlures dans une zone lorsqu'il frappe.")</f>
        <v>Utilisé comme munitions pour un arc. Inflige des dégâts et des brûlures dans une zone lorsqu'il frappe.</v>
      </c>
      <c r="D170" s="23" t="str">
        <f>IFERROR(__xludf.DUMMYFUNCTION("GOOGLETRANSLATE(B170, ""en"", ""es"")"),"Utilizado como municiones para un arco. Inflige daños y quema en un área cuando golpea.")</f>
        <v>Utilizado como municiones para un arco. Inflige daños y quema en un área cuando golpea.</v>
      </c>
      <c r="E170" s="23" t="str">
        <f>IFERROR(__xludf.DUMMYFUNCTION("GOOGLETRANSLATE(B170, ""en"", ""ru"")"),"Используется в качестве боеприпасов для лука. Наносит ущерб и горит в области, когда он попадает.")</f>
        <v>Используется в качестве боеприпасов для лука. Наносит ущерб и горит в области, когда он попадает.</v>
      </c>
      <c r="F170" s="23" t="str">
        <f>IFERROR(__xludf.DUMMYFUNCTION("GOOGLETRANSLATE(B170, ""en"", ""tr"")"),"Bir yay için mühimmat olarak kullanılır. Vurduğunda bir alanda hasar verir ve yanar.")</f>
        <v>Bir yay için mühimmat olarak kullanılır. Vurduğunda bir alanda hasar verir ve yanar.</v>
      </c>
      <c r="G170" s="23" t="str">
        <f>IFERROR(__xludf.DUMMYFUNCTION("GOOGLETRANSLATE(B170, ""en"", ""pt"")"),"Usado como munição para um arco. Causa dano e queima em uma área quando atingir.")</f>
        <v>Usado como munição para um arco. Causa dano e queima em uma área quando atingir.</v>
      </c>
      <c r="H170" s="24" t="str">
        <f>IFERROR(__xludf.DUMMYFUNCTION("GOOGLETRANSLATE(B170, ""en"", ""de"")"),"Als Munition für einen Bogen verwendet. Verursacht Schaden und brennt in einem Bereich, wenn es trifft.")</f>
        <v>Als Munition für einen Bogen verwendet. Verursacht Schaden und brennt in einem Bereich, wenn es trifft.</v>
      </c>
      <c r="I170" s="23" t="str">
        <f>IFERROR(__xludf.DUMMYFUNCTION("GOOGLETRANSLATE(B170, ""en"", ""pl"")"),"Używane jako amunicja do łuku. Zadaje obrażenia i oparzenia w obszarze, gdy uderza.")</f>
        <v>Używane jako amunicja do łuku. Zadaje obrażenia i oparzenia w obszarze, gdy uderza.</v>
      </c>
      <c r="J170" s="25" t="str">
        <f>IFERROR(__xludf.DUMMYFUNCTION("GOOGLETRANSLATE(B170, ""en"", ""zh"")"),"用作弓的弹药。撞击时造成损坏并在某个区域燃烧。")</f>
        <v>用作弓的弹药。撞击时造成损坏并在某个区域燃烧。</v>
      </c>
      <c r="K170" s="25" t="str">
        <f>IFERROR(__xludf.DUMMYFUNCTION("GOOGLETRANSLATE(B170, ""en"", ""vi"")"),"Được sử dụng làm đạn dược cho một cây cung. Gây sát thương và đốt trong một khu vực khi nó đạt.")</f>
        <v>Được sử dụng làm đạn dược cho một cây cung. Gây sát thương và đốt trong một khu vực khi nó đạt.</v>
      </c>
      <c r="L170" s="42" t="str">
        <f>IFERROR(__xludf.DUMMYFUNCTION("GOOGLETRANSLATE(B170, ""en"", ""hr"")"),"Koristi se kao municija za luk. Nanosi štetu i opekline na području kada udari.")</f>
        <v>Koristi se kao municija za luk. Nanosi štetu i opekline na području kada udari.</v>
      </c>
      <c r="M170" s="26"/>
      <c r="N170" s="26"/>
      <c r="O170" s="26"/>
      <c r="P170" s="26"/>
      <c r="Q170" s="26"/>
      <c r="R170" s="26"/>
      <c r="S170" s="26"/>
      <c r="T170" s="26"/>
      <c r="U170" s="26"/>
      <c r="V170" s="26"/>
      <c r="W170" s="26"/>
      <c r="X170" s="26"/>
      <c r="Y170" s="26"/>
      <c r="Z170" s="26"/>
      <c r="AA170" s="26"/>
      <c r="AB170" s="26"/>
    </row>
    <row r="171">
      <c r="A171" s="21" t="s">
        <v>769</v>
      </c>
      <c r="B171" s="22" t="s">
        <v>770</v>
      </c>
      <c r="C171" s="23" t="str">
        <f>IFERROR(__xludf.DUMMYFUNCTION("GOOGLETRANSLATE(B171, ""en"", ""fr"")"),"Chanteur")</f>
        <v>Chanteur</v>
      </c>
      <c r="D171" s="23" t="str">
        <f>IFERROR(__xludf.DUMMYFUNCTION("GOOGLETRANSLATE(B171, ""en"", ""es"")"),"Shuriken")</f>
        <v>Shuriken</v>
      </c>
      <c r="E171" s="23" t="str">
        <f>IFERROR(__xludf.DUMMYFUNCTION("GOOGLETRANSLATE(B171, ""en"", ""ru"")"),"Шурикен")</f>
        <v>Шурикен</v>
      </c>
      <c r="F171" s="23" t="str">
        <f>IFERROR(__xludf.DUMMYFUNCTION("GOOGLETRANSLATE(B171, ""en"", ""tr"")"),"Shuriken")</f>
        <v>Shuriken</v>
      </c>
      <c r="G171" s="23" t="str">
        <f>IFERROR(__xludf.DUMMYFUNCTION("GOOGLETRANSLATE(B171, ""en"", ""pt"")"),"Shuriken")</f>
        <v>Shuriken</v>
      </c>
      <c r="H171" s="24" t="str">
        <f>IFERROR(__xludf.DUMMYFUNCTION("GOOGLETRANSLATE(B171, ""en"", ""de"")"),"Shuriken")</f>
        <v>Shuriken</v>
      </c>
      <c r="I171" s="23" t="str">
        <f>IFERROR(__xludf.DUMMYFUNCTION("GOOGLETRANSLATE(B171, ""en"", ""pl"")"),"Shuriken")</f>
        <v>Shuriken</v>
      </c>
      <c r="J171" s="25" t="str">
        <f>IFERROR(__xludf.DUMMYFUNCTION("GOOGLETRANSLATE(B171, ""en"", ""zh"")"),"Shuriken")</f>
        <v>Shuriken</v>
      </c>
      <c r="K171" s="25" t="str">
        <f>IFERROR(__xludf.DUMMYFUNCTION("GOOGLETRANSLATE(B171, ""en"", ""vi"")"),"Shuriken")</f>
        <v>Shuriken</v>
      </c>
      <c r="L171" s="42" t="str">
        <f>IFERROR(__xludf.DUMMYFUNCTION("GOOGLETRANSLATE(B171, ""en"", ""hr"")"),"Shuriken")</f>
        <v>Shuriken</v>
      </c>
      <c r="M171" s="26"/>
      <c r="N171" s="26"/>
      <c r="O171" s="26"/>
      <c r="P171" s="26"/>
      <c r="Q171" s="26"/>
      <c r="R171" s="26"/>
      <c r="S171" s="26"/>
      <c r="T171" s="26"/>
      <c r="U171" s="26"/>
      <c r="V171" s="26"/>
      <c r="W171" s="26"/>
      <c r="X171" s="26"/>
      <c r="Y171" s="26"/>
      <c r="Z171" s="26"/>
      <c r="AA171" s="26"/>
      <c r="AB171" s="26"/>
    </row>
    <row r="172">
      <c r="A172" s="21" t="s">
        <v>771</v>
      </c>
      <c r="B172" s="22" t="s">
        <v>772</v>
      </c>
      <c r="C172" s="23" t="str">
        <f>IFERROR(__xludf.DUMMYFUNCTION("GOOGLETRANSLATE(B172, ""en"", ""fr"")"),"Une arme à distance rapide à distance.")</f>
        <v>Une arme à distance rapide à distance.</v>
      </c>
      <c r="D172" s="23" t="str">
        <f>IFERROR(__xludf.DUMMYFUNCTION("GOOGLETRANSLATE(B172, ""en"", ""es"")"),"Un arma de medio rango de medio en movimiento rápido.")</f>
        <v>Un arma de medio rango de medio en movimiento rápido.</v>
      </c>
      <c r="E172" s="23" t="str">
        <f>IFERROR(__xludf.DUMMYFUNCTION("GOOGLETRANSLATE(B172, ""en"", ""ru"")"),"Быстро движущееся среднее оружие.")</f>
        <v>Быстро движущееся среднее оружие.</v>
      </c>
      <c r="F172" s="23" t="str">
        <f>IFERROR(__xludf.DUMMYFUNCTION("GOOGLETRANSLATE(B172, ""en"", ""tr"")"),"Hızlı hareket eden bir ortam silahlı silah.")</f>
        <v>Hızlı hareket eden bir ortam silahlı silah.</v>
      </c>
      <c r="G172" s="23" t="str">
        <f>IFERROR(__xludf.DUMMYFUNCTION("GOOGLETRANSLATE(B172, ""en"", ""pt"")"),"Uma arma de longo alcance em movimento rápido.")</f>
        <v>Uma arma de longo alcance em movimento rápido.</v>
      </c>
      <c r="H172" s="24" t="str">
        <f>IFERROR(__xludf.DUMMYFUNCTION("GOOGLETRANSLATE(B172, ""en"", ""de"")"),"Eine sich schnell bewegende Medium -Fernkampfwaffe.")</f>
        <v>Eine sich schnell bewegende Medium -Fernkampfwaffe.</v>
      </c>
      <c r="I172" s="23" t="str">
        <f>IFERROR(__xludf.DUMMYFUNCTION("GOOGLETRANSLATE(B172, ""en"", ""pl"")"),"Szybko poruszająca się broń dystansowa.")</f>
        <v>Szybko poruszająca się broń dystansowa.</v>
      </c>
      <c r="J172" s="25" t="str">
        <f>IFERROR(__xludf.DUMMYFUNCTION("GOOGLETRANSLATE(B172, ""en"", ""zh"")"),"快速移动的中型远程武器。")</f>
        <v>快速移动的中型远程武器。</v>
      </c>
      <c r="K172" s="25" t="str">
        <f>IFERROR(__xludf.DUMMYFUNCTION("GOOGLETRANSLATE(B172, ""en"", ""vi"")"),"Một vũ khí tầm trung chuyển động nhanh.")</f>
        <v>Một vũ khí tầm trung chuyển động nhanh.</v>
      </c>
      <c r="L172" s="42" t="str">
        <f>IFERROR(__xludf.DUMMYFUNCTION("GOOGLETRANSLATE(B172, ""en"", ""hr"")"),"Brzo pokretno oružje.")</f>
        <v>Brzo pokretno oružje.</v>
      </c>
      <c r="M172" s="26"/>
      <c r="N172" s="26"/>
      <c r="O172" s="26"/>
      <c r="P172" s="26"/>
      <c r="Q172" s="26"/>
      <c r="R172" s="26"/>
      <c r="S172" s="26"/>
      <c r="T172" s="26"/>
      <c r="U172" s="26"/>
      <c r="V172" s="26"/>
      <c r="W172" s="26"/>
      <c r="X172" s="26"/>
      <c r="Y172" s="26"/>
      <c r="Z172" s="26"/>
      <c r="AA172" s="26"/>
      <c r="AB172" s="26"/>
    </row>
    <row r="173">
      <c r="A173" s="21" t="s">
        <v>773</v>
      </c>
      <c r="B173" s="22" t="s">
        <v>774</v>
      </c>
      <c r="C173" s="23" t="str">
        <f>IFERROR(__xludf.DUMMYFUNCTION("GOOGLETRANSLATE(B173, ""en"", ""fr"")"),"Bombe")</f>
        <v>Bombe</v>
      </c>
      <c r="D173" s="23" t="str">
        <f>IFERROR(__xludf.DUMMYFUNCTION("GOOGLETRANSLATE(B173, ""en"", ""es"")"),"Bomba")</f>
        <v>Bomba</v>
      </c>
      <c r="E173" s="23" t="str">
        <f>IFERROR(__xludf.DUMMYFUNCTION("GOOGLETRANSLATE(B173, ""en"", ""ru"")"),"Бомбить")</f>
        <v>Бомбить</v>
      </c>
      <c r="F173" s="23" t="str">
        <f>IFERROR(__xludf.DUMMYFUNCTION("GOOGLETRANSLATE(B173, ""en"", ""tr"")"),"Bomba")</f>
        <v>Bomba</v>
      </c>
      <c r="G173" s="23" t="str">
        <f>IFERROR(__xludf.DUMMYFUNCTION("GOOGLETRANSLATE(B173, ""en"", ""pt"")"),"Bombear")</f>
        <v>Bombear</v>
      </c>
      <c r="H173" s="24" t="str">
        <f>IFERROR(__xludf.DUMMYFUNCTION("GOOGLETRANSLATE(B173, ""en"", ""de"")"),"Bombe")</f>
        <v>Bombe</v>
      </c>
      <c r="I173" s="23" t="str">
        <f>IFERROR(__xludf.DUMMYFUNCTION("GOOGLETRANSLATE(B173, ""en"", ""pl"")"),"Bomba")</f>
        <v>Bomba</v>
      </c>
      <c r="J173" s="25" t="str">
        <f>IFERROR(__xludf.DUMMYFUNCTION("GOOGLETRANSLATE(B173, ""en"", ""zh"")"),"炸弹")</f>
        <v>炸弹</v>
      </c>
      <c r="K173" s="25" t="str">
        <f>IFERROR(__xludf.DUMMYFUNCTION("GOOGLETRANSLATE(B173, ""en"", ""vi"")"),"Bom")</f>
        <v>Bom</v>
      </c>
      <c r="L173" s="42" t="str">
        <f>IFERROR(__xludf.DUMMYFUNCTION("GOOGLETRANSLATE(B173, ""en"", ""hr"")"),"Bomba")</f>
        <v>Bomba</v>
      </c>
      <c r="M173" s="26"/>
      <c r="N173" s="26"/>
      <c r="O173" s="26"/>
      <c r="P173" s="26"/>
      <c r="Q173" s="26"/>
      <c r="R173" s="26"/>
      <c r="S173" s="26"/>
      <c r="T173" s="26"/>
      <c r="U173" s="26"/>
      <c r="V173" s="26"/>
      <c r="W173" s="26"/>
      <c r="X173" s="26"/>
      <c r="Y173" s="26"/>
      <c r="Z173" s="26"/>
      <c r="AA173" s="26"/>
      <c r="AB173" s="26"/>
    </row>
    <row r="174">
      <c r="A174" s="21" t="s">
        <v>775</v>
      </c>
      <c r="B174" s="22" t="s">
        <v>776</v>
      </c>
      <c r="C174" s="23" t="str">
        <f>IFERROR(__xludf.DUMMYFUNCTION("GOOGLETRANSLATE(B174, ""en"", ""fr"")"),"Crée une explosion qui endommage et brûle tout ce qui est à proximité après un court délai.")</f>
        <v>Crée une explosion qui endommage et brûle tout ce qui est à proximité après un court délai.</v>
      </c>
      <c r="D174" s="23" t="str">
        <f>IFERROR(__xludf.DUMMYFUNCTION("GOOGLETRANSLATE(B174, ""en"", ""es"")"),"Crea una explosión que daña y quema cualquier cosa cerca después de un breve retraso.")</f>
        <v>Crea una explosión que daña y quema cualquier cosa cerca después de un breve retraso.</v>
      </c>
      <c r="E174" s="23" t="str">
        <f>IFERROR(__xludf.DUMMYFUNCTION("GOOGLETRANSLATE(B174, ""en"", ""ru"")"),"Создает взрыв, который повреждает и сжигает все поблизости после короткой задержки.")</f>
        <v>Создает взрыв, который повреждает и сжигает все поблизости после короткой задержки.</v>
      </c>
      <c r="F174" s="23" t="str">
        <f>IFERROR(__xludf.DUMMYFUNCTION("GOOGLETRANSLATE(B174, ""en"", ""tr"")"),"Kısa bir gecikmeden sonra yakındaki herhangi bir şeye zarar veren ve yakan bir patlama yaratır.")</f>
        <v>Kısa bir gecikmeden sonra yakındaki herhangi bir şeye zarar veren ve yakan bir patlama yaratır.</v>
      </c>
      <c r="G174" s="23" t="str">
        <f>IFERROR(__xludf.DUMMYFUNCTION("GOOGLETRANSLATE(B174, ""en"", ""pt"")"),"Cria uma explosão que danifica e queima qualquer coisa próxima após um pequeno atraso.")</f>
        <v>Cria uma explosão que danifica e queima qualquer coisa próxima após um pequeno atraso.</v>
      </c>
      <c r="H174" s="24" t="str">
        <f>IFERROR(__xludf.DUMMYFUNCTION("GOOGLETRANSLATE(B174, ""en"", ""de"")"),"Erzeugt eine Explosion, die nach einer kurzen Verzögerung etwas in der Nähe schädigt und verbrennt.")</f>
        <v>Erzeugt eine Explosion, die nach einer kurzen Verzögerung etwas in der Nähe schädigt und verbrennt.</v>
      </c>
      <c r="I174" s="23" t="str">
        <f>IFERROR(__xludf.DUMMYFUNCTION("GOOGLETRANSLATE(B174, ""en"", ""pl"")"),"Tworzy eksplozję, która uszkadza i spala wszystko w pobliżu po krótkim opóźnieniu.")</f>
        <v>Tworzy eksplozję, która uszkadza i spala wszystko w pobliżu po krótkim opóźnieniu.</v>
      </c>
      <c r="J174" s="25" t="str">
        <f>IFERROR(__xludf.DUMMYFUNCTION("GOOGLETRANSLATE(B174, ""en"", ""zh"")"),"爆炸造成爆炸，在短暂延迟后损坏并燃烧附近的任何东西。")</f>
        <v>爆炸造成爆炸，在短暂延迟后损坏并燃烧附近的任何东西。</v>
      </c>
      <c r="K174" s="25" t="str">
        <f>IFERROR(__xludf.DUMMYFUNCTION("GOOGLETRANSLATE(B174, ""en"", ""vi"")"),"Tạo ra một vụ nổ làm hỏng và đốt bất cứ thứ gì gần đó sau một thời gian ngắn.")</f>
        <v>Tạo ra một vụ nổ làm hỏng và đốt bất cứ thứ gì gần đó sau một thời gian ngắn.</v>
      </c>
      <c r="L174" s="42" t="str">
        <f>IFERROR(__xludf.DUMMYFUNCTION("GOOGLETRANSLATE(B174, ""en"", ""hr"")"),"Stvara eksploziju koja oštećuje i sagorijeva bilo što u blizini nakon kratkog odgađanja.")</f>
        <v>Stvara eksploziju koja oštećuje i sagorijeva bilo što u blizini nakon kratkog odgađanja.</v>
      </c>
      <c r="M174" s="26"/>
      <c r="N174" s="26"/>
      <c r="O174" s="26"/>
      <c r="P174" s="26"/>
      <c r="Q174" s="26"/>
      <c r="R174" s="26"/>
      <c r="S174" s="26"/>
      <c r="T174" s="26"/>
      <c r="U174" s="26"/>
      <c r="V174" s="26"/>
      <c r="W174" s="26"/>
      <c r="X174" s="26"/>
      <c r="Y174" s="26"/>
      <c r="Z174" s="26"/>
      <c r="AA174" s="26"/>
      <c r="AB174" s="26"/>
    </row>
    <row r="175">
      <c r="A175" s="21" t="s">
        <v>777</v>
      </c>
      <c r="B175" s="22" t="s">
        <v>778</v>
      </c>
      <c r="C175" s="23" t="str">
        <f>IFERROR(__xludf.DUMMYFUNCTION("GOOGLETRANSLATE(B175, ""en"", ""fr"")"),"Piège")</f>
        <v>Piège</v>
      </c>
      <c r="D175" s="23" t="str">
        <f>IFERROR(__xludf.DUMMYFUNCTION("GOOGLETRANSLATE(B175, ""en"", ""es"")"),"Trampa")</f>
        <v>Trampa</v>
      </c>
      <c r="E175" s="23" t="str">
        <f>IFERROR(__xludf.DUMMYFUNCTION("GOOGLETRANSLATE(B175, ""en"", ""ru"")"),"Ловушка")</f>
        <v>Ловушка</v>
      </c>
      <c r="F175" s="23" t="str">
        <f>IFERROR(__xludf.DUMMYFUNCTION("GOOGLETRANSLATE(B175, ""en"", ""tr"")"),"Tuzak kurmak")</f>
        <v>Tuzak kurmak</v>
      </c>
      <c r="G175" s="23" t="str">
        <f>IFERROR(__xludf.DUMMYFUNCTION("GOOGLETRANSLATE(B175, ""en"", ""pt"")"),"Armadilha")</f>
        <v>Armadilha</v>
      </c>
      <c r="H175" s="24" t="str">
        <f>IFERROR(__xludf.DUMMYFUNCTION("GOOGLETRANSLATE(B175, ""en"", ""de"")"),"Fangen")</f>
        <v>Fangen</v>
      </c>
      <c r="I175" s="23" t="str">
        <f>IFERROR(__xludf.DUMMYFUNCTION("GOOGLETRANSLATE(B175, ""en"", ""pl"")"),"Pułapka")</f>
        <v>Pułapka</v>
      </c>
      <c r="J175" s="25" t="str">
        <f>IFERROR(__xludf.DUMMYFUNCTION("GOOGLETRANSLATE(B175, ""en"", ""zh"")"),"陷阱")</f>
        <v>陷阱</v>
      </c>
      <c r="K175" s="25" t="str">
        <f>IFERROR(__xludf.DUMMYFUNCTION("GOOGLETRANSLATE(B175, ""en"", ""vi"")"),"Cạm bẫy")</f>
        <v>Cạm bẫy</v>
      </c>
      <c r="L175" s="42" t="str">
        <f>IFERROR(__xludf.DUMMYFUNCTION("GOOGLETRANSLATE(B175, ""en"", ""hr"")"),"Zamka")</f>
        <v>Zamka</v>
      </c>
      <c r="M175" s="26"/>
      <c r="N175" s="26"/>
      <c r="O175" s="26"/>
      <c r="P175" s="26"/>
      <c r="Q175" s="26"/>
      <c r="R175" s="26"/>
      <c r="S175" s="26"/>
      <c r="T175" s="26"/>
      <c r="U175" s="26"/>
      <c r="V175" s="26"/>
      <c r="W175" s="26"/>
      <c r="X175" s="26"/>
      <c r="Y175" s="26"/>
      <c r="Z175" s="26"/>
      <c r="AA175" s="26"/>
      <c r="AB175" s="26"/>
    </row>
    <row r="176">
      <c r="A176" s="21" t="s">
        <v>779</v>
      </c>
      <c r="B176" s="22" t="s">
        <v>780</v>
      </c>
      <c r="C176" s="23" t="str">
        <f>IFERROR(__xludf.DUMMYFUNCTION("GOOGLETRANSLATE(B176, ""en"", ""fr"")"),"Endommage tout ce qui marche dessus.")</f>
        <v>Endommage tout ce qui marche dessus.</v>
      </c>
      <c r="D176" s="23" t="str">
        <f>IFERROR(__xludf.DUMMYFUNCTION("GOOGLETRANSLATE(B176, ""en"", ""es"")"),"Daña cualquier cosa que lo pusiera.")</f>
        <v>Daña cualquier cosa que lo pusiera.</v>
      </c>
      <c r="E176" s="23" t="str">
        <f>IFERROR(__xludf.DUMMYFUNCTION("GOOGLETRANSLATE(B176, ""en"", ""ru"")"),"Повреждает все, что находит на это.")</f>
        <v>Повреждает все, что находит на это.</v>
      </c>
      <c r="F176" s="23" t="str">
        <f>IFERROR(__xludf.DUMMYFUNCTION("GOOGLETRANSLATE(B176, ""en"", ""tr"")"),"Üzerine adım atan her şeye zarar verir.")</f>
        <v>Üzerine adım atan her şeye zarar verir.</v>
      </c>
      <c r="G176" s="23" t="str">
        <f>IFERROR(__xludf.DUMMYFUNCTION("GOOGLETRANSLATE(B176, ""en"", ""pt"")"),"Danifica tudo o que pisa nele.")</f>
        <v>Danifica tudo o que pisa nele.</v>
      </c>
      <c r="H176" s="24" t="str">
        <f>IFERROR(__xludf.DUMMYFUNCTION("GOOGLETRANSLATE(B176, ""en"", ""de"")"),"Schädigt alles, was darauf tritt.")</f>
        <v>Schädigt alles, was darauf tritt.</v>
      </c>
      <c r="I176" s="23" t="str">
        <f>IFERROR(__xludf.DUMMYFUNCTION("GOOGLETRANSLATE(B176, ""en"", ""pl"")"),"Uszkadza wszystko, co się na to nadchodzi.")</f>
        <v>Uszkadza wszystko, co się na to nadchodzi.</v>
      </c>
      <c r="J176" s="25" t="str">
        <f>IFERROR(__xludf.DUMMYFUNCTION("GOOGLETRANSLATE(B176, ""en"", ""zh"")"),"损坏任何踩踏它的东西。")</f>
        <v>损坏任何踩踏它的东西。</v>
      </c>
      <c r="K176" s="25" t="str">
        <f>IFERROR(__xludf.DUMMYFUNCTION("GOOGLETRANSLATE(B176, ""en"", ""vi"")"),"Thiệt hại bất cứ điều gì bước trên nó.")</f>
        <v>Thiệt hại bất cứ điều gì bước trên nó.</v>
      </c>
      <c r="L176" s="42" t="str">
        <f>IFERROR(__xludf.DUMMYFUNCTION("GOOGLETRANSLATE(B176, ""en"", ""hr"")"),"Oštećuje sve što na njemu korača.")</f>
        <v>Oštećuje sve što na njemu korača.</v>
      </c>
      <c r="M176" s="26"/>
      <c r="N176" s="26"/>
      <c r="O176" s="26"/>
      <c r="P176" s="26"/>
      <c r="Q176" s="26"/>
      <c r="R176" s="26"/>
      <c r="S176" s="26"/>
      <c r="T176" s="26"/>
      <c r="U176" s="26"/>
      <c r="V176" s="26"/>
      <c r="W176" s="26"/>
      <c r="X176" s="26"/>
      <c r="Y176" s="26"/>
      <c r="Z176" s="26"/>
      <c r="AA176" s="26"/>
      <c r="AB176" s="26"/>
    </row>
    <row r="177">
      <c r="A177" s="21" t="s">
        <v>781</v>
      </c>
      <c r="B177" s="22" t="s">
        <v>782</v>
      </c>
      <c r="C177" s="23" t="str">
        <f>IFERROR(__xludf.DUMMYFUNCTION("GOOGLETRANSLATE(B177, ""en"", ""fr"")"),"Ride à glace")</f>
        <v>Ride à glace</v>
      </c>
      <c r="D177" s="23" t="str">
        <f>IFERROR(__xludf.DUMMYFUNCTION("GOOGLETRANSLATE(B177, ""en"", ""es"")"),"Fragmento de hielo")</f>
        <v>Fragmento de hielo</v>
      </c>
      <c r="E177" s="23" t="str">
        <f>IFERROR(__xludf.DUMMYFUNCTION("GOOGLETRANSLATE(B177, ""en"", ""ru"")"),"Ледяной осколок")</f>
        <v>Ледяной осколок</v>
      </c>
      <c r="F177" s="23" t="str">
        <f>IFERROR(__xludf.DUMMYFUNCTION("GOOGLETRANSLATE(B177, ""en"", ""tr"")"),"Buz kırağı")</f>
        <v>Buz kırağı</v>
      </c>
      <c r="G177" s="23" t="str">
        <f>IFERROR(__xludf.DUMMYFUNCTION("GOOGLETRANSLATE(B177, ""en"", ""pt"")"),"Pedaço de gelo")</f>
        <v>Pedaço de gelo</v>
      </c>
      <c r="H177" s="24" t="str">
        <f>IFERROR(__xludf.DUMMYFUNCTION("GOOGLETRANSLATE(B177, ""en"", ""de"")"),"Eisscholle")</f>
        <v>Eisscholle</v>
      </c>
      <c r="I177" s="23" t="str">
        <f>IFERROR(__xludf.DUMMYFUNCTION("GOOGLETRANSLATE(B177, ""en"", ""pl"")"),"Odłamek lodu")</f>
        <v>Odłamek lodu</v>
      </c>
      <c r="J177" s="25" t="str">
        <f>IFERROR(__xludf.DUMMYFUNCTION("GOOGLETRANSLATE(B177, ""en"", ""zh"")"),"冰碎")</f>
        <v>冰碎</v>
      </c>
      <c r="K177" s="25" t="str">
        <f>IFERROR(__xludf.DUMMYFUNCTION("GOOGLETRANSLATE(B177, ""en"", ""vi"")"),"Mảnh băng")</f>
        <v>Mảnh băng</v>
      </c>
      <c r="L177" s="42" t="str">
        <f>IFERROR(__xludf.DUMMYFUNCTION("GOOGLETRANSLATE(B177, ""en"", ""hr"")"),"Led")</f>
        <v>Led</v>
      </c>
      <c r="M177" s="26"/>
      <c r="N177" s="26"/>
      <c r="O177" s="26"/>
      <c r="P177" s="26"/>
      <c r="Q177" s="26"/>
      <c r="R177" s="26"/>
      <c r="S177" s="26"/>
      <c r="T177" s="26"/>
      <c r="U177" s="26"/>
      <c r="V177" s="26"/>
      <c r="W177" s="26"/>
      <c r="X177" s="26"/>
      <c r="Y177" s="26"/>
      <c r="Z177" s="26"/>
      <c r="AA177" s="26"/>
      <c r="AB177" s="26"/>
    </row>
    <row r="178">
      <c r="A178" s="21" t="s">
        <v>783</v>
      </c>
      <c r="B178" s="22" t="s">
        <v>784</v>
      </c>
      <c r="C178" s="23" t="str">
        <f>IFERROR(__xludf.DUMMYFUNCTION("GOOGLETRANSLATE(B178, ""en"", ""fr"")"),"Un morceau de glace. Utilisé pour fabriquer des articles avec un effet de refroidissement.")</f>
        <v>Un morceau de glace. Utilisé pour fabriquer des articles avec un effet de refroidissement.</v>
      </c>
      <c r="D178" s="23" t="str">
        <f>IFERROR(__xludf.DUMMYFUNCTION("GOOGLETRANSLATE(B178, ""en"", ""es"")"),"Un trozo de hielo. Se usa para crear artículos con un efecto frío.")</f>
        <v>Un trozo de hielo. Se usa para crear artículos con un efecto frío.</v>
      </c>
      <c r="E178" s="23" t="str">
        <f>IFERROR(__xludf.DUMMYFUNCTION("GOOGLETRANSLATE(B178, ""en"", ""ru"")"),"Кусок льда. Используется для создания предметов с охлажденным эффектом.")</f>
        <v>Кусок льда. Используется для создания предметов с охлажденным эффектом.</v>
      </c>
      <c r="F178" s="23" t="str">
        <f>IFERROR(__xludf.DUMMYFUNCTION("GOOGLETRANSLATE(B178, ""en"", ""tr"")"),"Bir parça buz. Soğuk bir etkisi olan eşyalar yapmak için kullanılır.")</f>
        <v>Bir parça buz. Soğuk bir etkisi olan eşyalar yapmak için kullanılır.</v>
      </c>
      <c r="G178" s="23" t="str">
        <f>IFERROR(__xludf.DUMMYFUNCTION("GOOGLETRANSLATE(B178, ""en"", ""pt"")"),"Um pedaço de gelo. Usado para criar itens com um efeito frio.")</f>
        <v>Um pedaço de gelo. Usado para criar itens com um efeito frio.</v>
      </c>
      <c r="H178" s="24" t="str">
        <f>IFERROR(__xludf.DUMMYFUNCTION("GOOGLETRANSLATE(B178, ""en"", ""de"")"),"Ein Stück Eis. Wird verwendet, um Gegenstände mit kaltem Effekt zu erstellen.")</f>
        <v>Ein Stück Eis. Wird verwendet, um Gegenstände mit kaltem Effekt zu erstellen.</v>
      </c>
      <c r="I178" s="23" t="str">
        <f>IFERROR(__xludf.DUMMYFUNCTION("GOOGLETRANSLATE(B178, ""en"", ""pl"")"),"Kawałek lodu. Służy do tworzenia przedmiotów z efektem chłodnym.")</f>
        <v>Kawałek lodu. Służy do tworzenia przedmiotów z efektem chłodnym.</v>
      </c>
      <c r="J178" s="25" t="str">
        <f>IFERROR(__xludf.DUMMYFUNCTION("GOOGLETRANSLATE(B178, ""en"", ""zh"")"),"一块冰。用于制作具有寒冷效果的物品。")</f>
        <v>一块冰。用于制作具有寒冷效果的物品。</v>
      </c>
      <c r="K178" s="25" t="str">
        <f>IFERROR(__xludf.DUMMYFUNCTION("GOOGLETRANSLATE(B178, ""en"", ""vi"")"),"Một khối băng. Được sử dụng để chế tạo các mặt hàng với một hiệu ứng lạnh.")</f>
        <v>Một khối băng. Được sử dụng để chế tạo các mặt hàng với một hiệu ứng lạnh.</v>
      </c>
      <c r="L178" s="42" t="str">
        <f>IFERROR(__xludf.DUMMYFUNCTION("GOOGLETRANSLATE(B178, ""en"", ""hr"")"),"Komad leda. Koristi se za izradu predmeta s hladnim efektom.")</f>
        <v>Komad leda. Koristi se za izradu predmeta s hladnim efektom.</v>
      </c>
      <c r="M178" s="26"/>
      <c r="N178" s="26"/>
      <c r="O178" s="26"/>
      <c r="P178" s="26"/>
      <c r="Q178" s="26"/>
      <c r="R178" s="26"/>
      <c r="S178" s="26"/>
      <c r="T178" s="26"/>
      <c r="U178" s="26"/>
      <c r="V178" s="26"/>
      <c r="W178" s="26"/>
      <c r="X178" s="26"/>
      <c r="Y178" s="26"/>
      <c r="Z178" s="26"/>
      <c r="AA178" s="26"/>
      <c r="AB178" s="26"/>
    </row>
    <row r="179">
      <c r="A179" s="21" t="s">
        <v>785</v>
      </c>
      <c r="B179" s="22" t="s">
        <v>786</v>
      </c>
      <c r="C179" s="23" t="str">
        <f>IFERROR(__xludf.DUMMYFUNCTION("GOOGLETRANSLATE(B179, ""en"", ""fr"")"),"Gemme")</f>
        <v>Gemme</v>
      </c>
      <c r="D179" s="23" t="str">
        <f>IFERROR(__xludf.DUMMYFUNCTION("GOOGLETRANSLATE(B179, ""en"", ""es"")"),"Joya")</f>
        <v>Joya</v>
      </c>
      <c r="E179" s="23" t="str">
        <f>IFERROR(__xludf.DUMMYFUNCTION("GOOGLETRANSLATE(B179, ""en"", ""ru"")"),"Жемчужина")</f>
        <v>Жемчужина</v>
      </c>
      <c r="F179" s="23" t="str">
        <f>IFERROR(__xludf.DUMMYFUNCTION("GOOGLETRANSLATE(B179, ""en"", ""tr"")"),"Mücevher")</f>
        <v>Mücevher</v>
      </c>
      <c r="G179" s="23" t="str">
        <f>IFERROR(__xludf.DUMMYFUNCTION("GOOGLETRANSLATE(B179, ""en"", ""pt"")"),"Gema")</f>
        <v>Gema</v>
      </c>
      <c r="H179" s="24" t="str">
        <f>IFERROR(__xludf.DUMMYFUNCTION("GOOGLETRANSLATE(B179, ""en"", ""de"")"),"Juwel")</f>
        <v>Juwel</v>
      </c>
      <c r="I179" s="23" t="str">
        <f>IFERROR(__xludf.DUMMYFUNCTION("GOOGLETRANSLATE(B179, ""en"", ""pl"")"),"Klejnot")</f>
        <v>Klejnot</v>
      </c>
      <c r="J179" s="25" t="str">
        <f>IFERROR(__xludf.DUMMYFUNCTION("GOOGLETRANSLATE(B179, ""en"", ""zh"")"),"宝石")</f>
        <v>宝石</v>
      </c>
      <c r="K179" s="25" t="str">
        <f>IFERROR(__xludf.DUMMYFUNCTION("GOOGLETRANSLATE(B179, ""en"", ""vi"")"),"Đá quý")</f>
        <v>Đá quý</v>
      </c>
      <c r="L179" s="42" t="str">
        <f>IFERROR(__xludf.DUMMYFUNCTION("GOOGLETRANSLATE(B179, ""en"", ""hr"")"),"Dragulj")</f>
        <v>Dragulj</v>
      </c>
      <c r="M179" s="26"/>
      <c r="N179" s="26"/>
      <c r="O179" s="26"/>
      <c r="P179" s="26"/>
      <c r="Q179" s="26"/>
      <c r="R179" s="26"/>
      <c r="S179" s="26"/>
      <c r="T179" s="26"/>
      <c r="U179" s="26"/>
      <c r="V179" s="26"/>
      <c r="W179" s="26"/>
      <c r="X179" s="26"/>
      <c r="Y179" s="26"/>
      <c r="Z179" s="26"/>
      <c r="AA179" s="26"/>
      <c r="AB179" s="26"/>
    </row>
    <row r="180">
      <c r="A180" s="21" t="s">
        <v>787</v>
      </c>
      <c r="B180" s="22" t="s">
        <v>788</v>
      </c>
      <c r="C180" s="23" t="str">
        <f>IFERROR(__xludf.DUMMYFUNCTION("GOOGLETRANSLATE(B180, ""en"", ""fr"")"),"Peut être chargé dans un autel magique en utilisant la gloire pour ajouter un effet élémentaire.")</f>
        <v>Peut être chargé dans un autel magique en utilisant la gloire pour ajouter un effet élémentaire.</v>
      </c>
      <c r="D180" s="23" t="str">
        <f>IFERROR(__xludf.DUMMYFUNCTION("GOOGLETRANSLATE(B180, ""en"", ""es"")"),"Se puede cargar en un altar mágico usando gloria para agregar un efecto elemental.")</f>
        <v>Se puede cargar en un altar mágico usando gloria para agregar un efecto elemental.</v>
      </c>
      <c r="E180" s="23" t="str">
        <f>IFERROR(__xludf.DUMMYFUNCTION("GOOGLETRANSLATE(B180, ""en"", ""ru"")"),"Может быть заряжен в волшебном алтаре, используя славу, чтобы добавить элементарный эффект.")</f>
        <v>Может быть заряжен в волшебном алтаре, используя славу, чтобы добавить элементарный эффект.</v>
      </c>
      <c r="F180" s="23" t="str">
        <f>IFERROR(__xludf.DUMMYFUNCTION("GOOGLETRANSLATE(B180, ""en"", ""tr"")"),"Temel bir etki eklemek için zafer kullanılarak sihirli bir sunakta ücretlendirilebilir.")</f>
        <v>Temel bir etki eklemek için zafer kullanılarak sihirli bir sunakta ücretlendirilebilir.</v>
      </c>
      <c r="G180" s="23" t="str">
        <f>IFERROR(__xludf.DUMMYFUNCTION("GOOGLETRANSLATE(B180, ""en"", ""pt"")"),"Pode ser carregado em um altar mágico usando a glória para adicionar um efeito elementar.")</f>
        <v>Pode ser carregado em um altar mágico usando a glória para adicionar um efeito elementar.</v>
      </c>
      <c r="H180" s="24" t="str">
        <f>IFERROR(__xludf.DUMMYFUNCTION("GOOGLETRANSLATE(B180, ""en"", ""de"")"),"Kann an einem magischen Altar mit Ruhm aufgeladen werden, um einen elementaren Effekt hinzuzufügen.")</f>
        <v>Kann an einem magischen Altar mit Ruhm aufgeladen werden, um einen elementaren Effekt hinzuzufügen.</v>
      </c>
      <c r="I180" s="23" t="str">
        <f>IFERROR(__xludf.DUMMYFUNCTION("GOOGLETRANSLATE(B180, ""en"", ""pl"")"),"Można naładować na magicznym ołtarzu za pomocą chwały, aby dodać efekt elementarny.")</f>
        <v>Można naładować na magicznym ołtarzu za pomocą chwały, aby dodać efekt elementarny.</v>
      </c>
      <c r="J180" s="25" t="str">
        <f>IFERROR(__xludf.DUMMYFUNCTION("GOOGLETRANSLATE(B180, ""en"", ""zh"")"),"可以使用荣耀在魔法祭坛上充电以添加元素效果。")</f>
        <v>可以使用荣耀在魔法祭坛上充电以添加元素效果。</v>
      </c>
      <c r="K180" s="25" t="str">
        <f>IFERROR(__xludf.DUMMYFUNCTION("GOOGLETRANSLATE(B180, ""en"", ""vi"")"),"Có thể được tính tại một bàn thờ ma thuật bằng cách sử dụng vinh quang để thêm một hiệu ứng nguyên tố.")</f>
        <v>Có thể được tính tại một bàn thờ ma thuật bằng cách sử dụng vinh quang để thêm một hiệu ứng nguyên tố.</v>
      </c>
      <c r="L180" s="42" t="str">
        <f>IFERROR(__xludf.DUMMYFUNCTION("GOOGLETRANSLATE(B180, ""en"", ""hr"")"),"Može se naplatiti na čarobnom oltaru pomoću slave za dodavanje elementarnog učinka.")</f>
        <v>Može se naplatiti na čarobnom oltaru pomoću slave za dodavanje elementarnog učinka.</v>
      </c>
      <c r="M180" s="26"/>
      <c r="N180" s="26"/>
      <c r="O180" s="26"/>
      <c r="P180" s="26"/>
      <c r="Q180" s="26"/>
      <c r="R180" s="26"/>
      <c r="S180" s="26"/>
      <c r="T180" s="26"/>
      <c r="U180" s="26"/>
      <c r="V180" s="26"/>
      <c r="W180" s="26"/>
      <c r="X180" s="26"/>
      <c r="Y180" s="26"/>
      <c r="Z180" s="26"/>
      <c r="AA180" s="26"/>
      <c r="AB180" s="26"/>
    </row>
    <row r="181">
      <c r="A181" s="21" t="s">
        <v>789</v>
      </c>
      <c r="B181" s="22" t="s">
        <v>790</v>
      </c>
      <c r="C181" s="23" t="str">
        <f>IFERROR(__xludf.DUMMYFUNCTION("GOOGLETRANSLATE(B181, ""en"", ""fr"")"),"Bijou de tir")</f>
        <v>Bijou de tir</v>
      </c>
      <c r="D181" s="23" t="str">
        <f>IFERROR(__xludf.DUMMYFUNCTION("GOOGLETRANSLATE(B181, ""en"", ""es"")"),"Gema de fuego")</f>
        <v>Gema de fuego</v>
      </c>
      <c r="E181" s="23" t="str">
        <f>IFERROR(__xludf.DUMMYFUNCTION("GOOGLETRANSLATE(B181, ""en"", ""ru"")"),"Пожарный драгоценный камень")</f>
        <v>Пожарный драгоценный камень</v>
      </c>
      <c r="F181" s="23" t="str">
        <f>IFERROR(__xludf.DUMMYFUNCTION("GOOGLETRANSLATE(B181, ""en"", ""tr"")"),"Yangın mücevher")</f>
        <v>Yangın mücevher</v>
      </c>
      <c r="G181" s="23" t="str">
        <f>IFERROR(__xludf.DUMMYFUNCTION("GOOGLETRANSLATE(B181, ""en"", ""pt"")"),"Jóia de fogo")</f>
        <v>Jóia de fogo</v>
      </c>
      <c r="H181" s="24" t="str">
        <f>IFERROR(__xludf.DUMMYFUNCTION("GOOGLETRANSLATE(B181, ""en"", ""de"")"),"Feuerstein")</f>
        <v>Feuerstein</v>
      </c>
      <c r="I181" s="23" t="str">
        <f>IFERROR(__xludf.DUMMYFUNCTION("GOOGLETRANSLATE(B181, ""en"", ""pl"")"),"Gem ognia")</f>
        <v>Gem ognia</v>
      </c>
      <c r="J181" s="25" t="str">
        <f>IFERROR(__xludf.DUMMYFUNCTION("GOOGLETRANSLATE(B181, ""en"", ""zh"")"),"火宝石")</f>
        <v>火宝石</v>
      </c>
      <c r="K181" s="25" t="str">
        <f>IFERROR(__xludf.DUMMYFUNCTION("GOOGLETRANSLATE(B181, ""en"", ""vi"")"),"Ngọc hỏa")</f>
        <v>Ngọc hỏa</v>
      </c>
      <c r="L181" s="42" t="str">
        <f>IFERROR(__xludf.DUMMYFUNCTION("GOOGLETRANSLATE(B181, ""en"", ""hr"")"),"Vatreni dragulj")</f>
        <v>Vatreni dragulj</v>
      </c>
      <c r="M181" s="26"/>
      <c r="N181" s="26"/>
      <c r="O181" s="26"/>
      <c r="P181" s="26"/>
      <c r="Q181" s="26"/>
      <c r="R181" s="26"/>
      <c r="S181" s="26"/>
      <c r="T181" s="26"/>
      <c r="U181" s="26"/>
      <c r="V181" s="26"/>
      <c r="W181" s="26"/>
      <c r="X181" s="26"/>
      <c r="Y181" s="26"/>
      <c r="Z181" s="26"/>
      <c r="AA181" s="26"/>
      <c r="AB181" s="26"/>
    </row>
    <row r="182">
      <c r="A182" s="21" t="s">
        <v>791</v>
      </c>
      <c r="B182" s="22" t="s">
        <v>792</v>
      </c>
      <c r="C182" s="23" t="str">
        <f>IFERROR(__xludf.DUMMYFUNCTION("GOOGLETRANSLATE(B182, ""en"", ""fr"")"),"Utilisé pour fabriquer des articles avec un effet de feu.")</f>
        <v>Utilisé pour fabriquer des articles avec un effet de feu.</v>
      </c>
      <c r="D182" s="23" t="str">
        <f>IFERROR(__xludf.DUMMYFUNCTION("GOOGLETRANSLATE(B182, ""en"", ""es"")"),"Se usa para crear artículos con un efecto de fuego.")</f>
        <v>Se usa para crear artículos con un efecto de fuego.</v>
      </c>
      <c r="E182" s="23" t="str">
        <f>IFERROR(__xludf.DUMMYFUNCTION("GOOGLETRANSLATE(B182, ""en"", ""ru"")"),"Используется для создания предметов с огненным эффектом.")</f>
        <v>Используется для создания предметов с огненным эффектом.</v>
      </c>
      <c r="F182" s="23" t="str">
        <f>IFERROR(__xludf.DUMMYFUNCTION("GOOGLETRANSLATE(B182, ""en"", ""tr"")"),"Yangın etkisi olan eşyalar yapmak için kullanılır.")</f>
        <v>Yangın etkisi olan eşyalar yapmak için kullanılır.</v>
      </c>
      <c r="G182" s="23" t="str">
        <f>IFERROR(__xludf.DUMMYFUNCTION("GOOGLETRANSLATE(B182, ""en"", ""pt"")"),"Usado para criar itens com efeito de incêndio.")</f>
        <v>Usado para criar itens com efeito de incêndio.</v>
      </c>
      <c r="H182" s="24" t="str">
        <f>IFERROR(__xludf.DUMMYFUNCTION("GOOGLETRANSLATE(B182, ""en"", ""de"")"),"Wird verwendet, um Gegenstände mit einem Brandeffekt zu erstellen.")</f>
        <v>Wird verwendet, um Gegenstände mit einem Brandeffekt zu erstellen.</v>
      </c>
      <c r="I182" s="23" t="str">
        <f>IFERROR(__xludf.DUMMYFUNCTION("GOOGLETRANSLATE(B182, ""en"", ""pl"")"),"Służy do tworzenia przedmiotów z efektem pożaru.")</f>
        <v>Służy do tworzenia przedmiotów z efektem pożaru.</v>
      </c>
      <c r="J182" s="25" t="str">
        <f>IFERROR(__xludf.DUMMYFUNCTION("GOOGLETRANSLATE(B182, ""en"", ""zh"")"),"用于制作具有火力效果的物品。")</f>
        <v>用于制作具有火力效果的物品。</v>
      </c>
      <c r="K182" s="25" t="str">
        <f>IFERROR(__xludf.DUMMYFUNCTION("GOOGLETRANSLATE(B182, ""en"", ""vi"")"),"Được sử dụng để chế tạo các mặt hàng với một hiệu ứng lửa.")</f>
        <v>Được sử dụng để chế tạo các mặt hàng với một hiệu ứng lửa.</v>
      </c>
      <c r="L182" s="42" t="str">
        <f>IFERROR(__xludf.DUMMYFUNCTION("GOOGLETRANSLATE(B182, ""en"", ""hr"")"),"Koristi se za izradu predmeta s efektom vatre.")</f>
        <v>Koristi se za izradu predmeta s efektom vatre.</v>
      </c>
      <c r="M182" s="26"/>
      <c r="N182" s="26"/>
      <c r="O182" s="26"/>
      <c r="P182" s="26"/>
      <c r="Q182" s="26"/>
      <c r="R182" s="26"/>
      <c r="S182" s="26"/>
      <c r="T182" s="26"/>
      <c r="U182" s="26"/>
      <c r="V182" s="26"/>
      <c r="W182" s="26"/>
      <c r="X182" s="26"/>
      <c r="Y182" s="26"/>
      <c r="Z182" s="26"/>
      <c r="AA182" s="26"/>
      <c r="AB182" s="26"/>
    </row>
    <row r="183">
      <c r="A183" s="21" t="s">
        <v>793</v>
      </c>
      <c r="B183" s="22" t="s">
        <v>794</v>
      </c>
      <c r="C183" s="23" t="str">
        <f>IFERROR(__xludf.DUMMYFUNCTION("GOOGLETRANSLATE(B183, ""en"", ""fr"")"),"Flamme éternelle")</f>
        <v>Flamme éternelle</v>
      </c>
      <c r="D183" s="23" t="str">
        <f>IFERROR(__xludf.DUMMYFUNCTION("GOOGLETRANSLATE(B183, ""en"", ""es"")"),"Llama eterna")</f>
        <v>Llama eterna</v>
      </c>
      <c r="E183" s="23" t="str">
        <f>IFERROR(__xludf.DUMMYFUNCTION("GOOGLETRANSLATE(B183, ""en"", ""ru"")"),"Вечный огонь")</f>
        <v>Вечный огонь</v>
      </c>
      <c r="F183" s="23" t="str">
        <f>IFERROR(__xludf.DUMMYFUNCTION("GOOGLETRANSLATE(B183, ""en"", ""tr"")"),"Ebedi Alev")</f>
        <v>Ebedi Alev</v>
      </c>
      <c r="G183" s="23" t="str">
        <f>IFERROR(__xludf.DUMMYFUNCTION("GOOGLETRANSLATE(B183, ""en"", ""pt"")"),"Chama eterna")</f>
        <v>Chama eterna</v>
      </c>
      <c r="H183" s="24" t="str">
        <f>IFERROR(__xludf.DUMMYFUNCTION("GOOGLETRANSLATE(B183, ""en"", ""de"")"),"Ewige Flamme")</f>
        <v>Ewige Flamme</v>
      </c>
      <c r="I183" s="23" t="str">
        <f>IFERROR(__xludf.DUMMYFUNCTION("GOOGLETRANSLATE(B183, ""en"", ""pl"")"),"Wieczny płomień")</f>
        <v>Wieczny płomień</v>
      </c>
      <c r="J183" s="25" t="str">
        <f>IFERROR(__xludf.DUMMYFUNCTION("GOOGLETRANSLATE(B183, ""en"", ""zh"")"),"永恒之火")</f>
        <v>永恒之火</v>
      </c>
      <c r="K183" s="25" t="str">
        <f>IFERROR(__xludf.DUMMYFUNCTION("GOOGLETRANSLATE(B183, ""en"", ""vi"")"),"Ngọn lửa vĩnh cửu")</f>
        <v>Ngọn lửa vĩnh cửu</v>
      </c>
      <c r="L183" s="42" t="str">
        <f>IFERROR(__xludf.DUMMYFUNCTION("GOOGLETRANSLATE(B183, ""en"", ""hr"")"),"Vječni plamen")</f>
        <v>Vječni plamen</v>
      </c>
      <c r="M183" s="26"/>
      <c r="N183" s="26"/>
      <c r="O183" s="26"/>
      <c r="P183" s="26"/>
      <c r="Q183" s="26"/>
      <c r="R183" s="26"/>
      <c r="S183" s="26"/>
      <c r="T183" s="26"/>
      <c r="U183" s="26"/>
      <c r="V183" s="26"/>
      <c r="W183" s="26"/>
      <c r="X183" s="26"/>
      <c r="Y183" s="26"/>
      <c r="Z183" s="26"/>
      <c r="AA183" s="26"/>
      <c r="AB183" s="26"/>
    </row>
    <row r="184">
      <c r="A184" s="21" t="s">
        <v>795</v>
      </c>
      <c r="B184" s="22" t="s">
        <v>796</v>
      </c>
      <c r="C184" s="23" t="str">
        <f>IFERROR(__xludf.DUMMYFUNCTION("GOOGLETRANSLATE(B184, ""en"", ""fr"")"),"Une essence de feu volée aux enfers qui peuvent brûler pour toujours.")</f>
        <v>Une essence de feu volée aux enfers qui peuvent brûler pour toujours.</v>
      </c>
      <c r="D184" s="23" t="str">
        <f>IFERROR(__xludf.DUMMYFUNCTION("GOOGLETRANSLATE(B184, ""en"", ""es"")"),"Una esencia de fuego robada del inframundo que puede quemar para siempre.")</f>
        <v>Una esencia de fuego robada del inframundo que puede quemar para siempre.</v>
      </c>
      <c r="E184" s="23" t="str">
        <f>IFERROR(__xludf.DUMMYFUNCTION("GOOGLETRANSLATE(B184, ""en"", ""ru"")"),"Суть огня, украденная из подземного мира, которая может гореть навсегда.")</f>
        <v>Суть огня, украденная из подземного мира, которая может гореть навсегда.</v>
      </c>
      <c r="F184" s="23" t="str">
        <f>IFERROR(__xludf.DUMMYFUNCTION("GOOGLETRANSLATE(B184, ""en"", ""tr"")"),"Yeraltı dünyasından sonsuza dek yanabilecek bir ateş özü.")</f>
        <v>Yeraltı dünyasından sonsuza dek yanabilecek bir ateş özü.</v>
      </c>
      <c r="G184" s="23" t="str">
        <f>IFERROR(__xludf.DUMMYFUNCTION("GOOGLETRANSLATE(B184, ""en"", ""pt"")"),"Uma essência de fogo roubada do submundo que pode queimar para sempre.")</f>
        <v>Uma essência de fogo roubada do submundo que pode queimar para sempre.</v>
      </c>
      <c r="H184" s="24" t="str">
        <f>IFERROR(__xludf.DUMMYFUNCTION("GOOGLETRANSLATE(B184, ""en"", ""de"")"),"Eine Essenz von Feuer, die aus der Unterwelt gestohlen wurden, die für immer brennen kann.")</f>
        <v>Eine Essenz von Feuer, die aus der Unterwelt gestohlen wurden, die für immer brennen kann.</v>
      </c>
      <c r="I184" s="23" t="str">
        <f>IFERROR(__xludf.DUMMYFUNCTION("GOOGLETRANSLATE(B184, ""en"", ""pl"")"),"Esencja ognia skradziona ze świata podziemnego, który może płonąć na zawsze.")</f>
        <v>Esencja ognia skradziona ze świata podziemnego, który może płonąć na zawsze.</v>
      </c>
      <c r="J184" s="25" t="str">
        <f>IFERROR(__xludf.DUMMYFUNCTION("GOOGLETRANSLATE(B184, ""en"", ""zh"")"),"从黑社会偷走的火的本质可以永远燃烧。")</f>
        <v>从黑社会偷走的火的本质可以永远燃烧。</v>
      </c>
      <c r="K184" s="25" t="str">
        <f>IFERROR(__xludf.DUMMYFUNCTION("GOOGLETRANSLATE(B184, ""en"", ""vi"")"),"Một bản chất của lửa bị đánh cắp từ thế giới ngầm có thể đốt cháy mãi mãi.")</f>
        <v>Một bản chất của lửa bị đánh cắp từ thế giới ngầm có thể đốt cháy mãi mãi.</v>
      </c>
      <c r="L184" s="42" t="str">
        <f>IFERROR(__xludf.DUMMYFUNCTION("GOOGLETRANSLATE(B184, ""en"", ""hr"")"),"Suština vatre ukradena iz podzemlja koja može zauvijek izgorjeti.")</f>
        <v>Suština vatre ukradena iz podzemlja koja može zauvijek izgorjeti.</v>
      </c>
      <c r="M184" s="26"/>
      <c r="N184" s="26"/>
      <c r="O184" s="26"/>
      <c r="P184" s="26"/>
      <c r="Q184" s="26"/>
      <c r="R184" s="26"/>
      <c r="S184" s="26"/>
      <c r="T184" s="26"/>
      <c r="U184" s="26"/>
      <c r="V184" s="26"/>
      <c r="W184" s="26"/>
      <c r="X184" s="26"/>
      <c r="Y184" s="26"/>
      <c r="Z184" s="26"/>
      <c r="AA184" s="26"/>
      <c r="AB184" s="26"/>
    </row>
    <row r="185">
      <c r="A185" s="21" t="s">
        <v>797</v>
      </c>
      <c r="B185" s="22" t="s">
        <v>798</v>
      </c>
      <c r="C185" s="23" t="str">
        <f>IFERROR(__xludf.DUMMYFUNCTION("GOOGLETRANSLATE(B185, ""en"", ""fr"")"),"Bijou du vent")</f>
        <v>Bijou du vent</v>
      </c>
      <c r="D185" s="23" t="str">
        <f>IFERROR(__xludf.DUMMYFUNCTION("GOOGLETRANSLATE(B185, ""en"", ""es"")"),"Gema de viento")</f>
        <v>Gema de viento</v>
      </c>
      <c r="E185" s="23" t="str">
        <f>IFERROR(__xludf.DUMMYFUNCTION("GOOGLETRANSLATE(B185, ""en"", ""ru"")"),"Ветер драгоценный камень")</f>
        <v>Ветер драгоценный камень</v>
      </c>
      <c r="F185" s="23" t="str">
        <f>IFERROR(__xludf.DUMMYFUNCTION("GOOGLETRANSLATE(B185, ""en"", ""tr"")"),"Rüzgârlı mücevher")</f>
        <v>Rüzgârlı mücevher</v>
      </c>
      <c r="G185" s="23" t="str">
        <f>IFERROR(__xludf.DUMMYFUNCTION("GOOGLETRANSLATE(B185, ""en"", ""pt"")"),"Gem do vento")</f>
        <v>Gem do vento</v>
      </c>
      <c r="H185" s="24" t="str">
        <f>IFERROR(__xludf.DUMMYFUNCTION("GOOGLETRANSLATE(B185, ""en"", ""de"")"),"Windstein")</f>
        <v>Windstein</v>
      </c>
      <c r="I185" s="23" t="str">
        <f>IFERROR(__xludf.DUMMYFUNCTION("GOOGLETRANSLATE(B185, ""en"", ""pl"")"),"Klejnot wiatru")</f>
        <v>Klejnot wiatru</v>
      </c>
      <c r="J185" s="25" t="str">
        <f>IFERROR(__xludf.DUMMYFUNCTION("GOOGLETRANSLATE(B185, ""en"", ""zh"")"),"风宝石")</f>
        <v>风宝石</v>
      </c>
      <c r="K185" s="25" t="str">
        <f>IFERROR(__xludf.DUMMYFUNCTION("GOOGLETRANSLATE(B185, ""en"", ""vi"")"),"Đá quý gió")</f>
        <v>Đá quý gió</v>
      </c>
      <c r="L185" s="42" t="str">
        <f>IFERROR(__xludf.DUMMYFUNCTION("GOOGLETRANSLATE(B185, ""en"", ""hr"")"),"Dragulj od vjetra")</f>
        <v>Dragulj od vjetra</v>
      </c>
      <c r="M185" s="26"/>
      <c r="N185" s="26"/>
      <c r="O185" s="26"/>
      <c r="P185" s="26"/>
      <c r="Q185" s="26"/>
      <c r="R185" s="26"/>
      <c r="S185" s="26"/>
      <c r="T185" s="26"/>
      <c r="U185" s="26"/>
      <c r="V185" s="26"/>
      <c r="W185" s="26"/>
      <c r="X185" s="26"/>
      <c r="Y185" s="26"/>
      <c r="Z185" s="26"/>
      <c r="AA185" s="26"/>
      <c r="AB185" s="26"/>
    </row>
    <row r="186">
      <c r="A186" s="21" t="s">
        <v>799</v>
      </c>
      <c r="B186" s="22" t="s">
        <v>800</v>
      </c>
      <c r="C186" s="23" t="str">
        <f>IFERROR(__xludf.DUMMYFUNCTION("GOOGLETRANSLATE(B186, ""en"", ""fr"")"),"Utilisé pour fabriquer des articles avec un effet de vent.")</f>
        <v>Utilisé pour fabriquer des articles avec un effet de vent.</v>
      </c>
      <c r="D186" s="23" t="str">
        <f>IFERROR(__xludf.DUMMYFUNCTION("GOOGLETRANSLATE(B186, ""en"", ""es"")"),"Se usa para crear artículos con un efecto de viento.")</f>
        <v>Se usa para crear artículos con un efecto de viento.</v>
      </c>
      <c r="E186" s="23" t="str">
        <f>IFERROR(__xludf.DUMMYFUNCTION("GOOGLETRANSLATE(B186, ""en"", ""ru"")"),"Используется для создания предметов с эффектом ветра.")</f>
        <v>Используется для создания предметов с эффектом ветра.</v>
      </c>
      <c r="F186" s="23" t="str">
        <f>IFERROR(__xludf.DUMMYFUNCTION("GOOGLETRANSLATE(B186, ""en"", ""tr"")"),"Rüzgar etkisi olan eşyalar yapmak için kullanılır.")</f>
        <v>Rüzgar etkisi olan eşyalar yapmak için kullanılır.</v>
      </c>
      <c r="G186" s="23" t="str">
        <f>IFERROR(__xludf.DUMMYFUNCTION("GOOGLETRANSLATE(B186, ""en"", ""pt"")"),"Usado para criar itens com efeito de vento.")</f>
        <v>Usado para criar itens com efeito de vento.</v>
      </c>
      <c r="H186" s="24" t="str">
        <f>IFERROR(__xludf.DUMMYFUNCTION("GOOGLETRANSLATE(B186, ""en"", ""de"")"),"Wird verwendet, um Gegenstände mit einem Windeffekt zu erstellen.")</f>
        <v>Wird verwendet, um Gegenstände mit einem Windeffekt zu erstellen.</v>
      </c>
      <c r="I186" s="23" t="str">
        <f>IFERROR(__xludf.DUMMYFUNCTION("GOOGLETRANSLATE(B186, ""en"", ""pl"")"),"Służy do tworzenia przedmiotów z efektem wiatru.")</f>
        <v>Służy do tworzenia przedmiotów z efektem wiatru.</v>
      </c>
      <c r="J186" s="25" t="str">
        <f>IFERROR(__xludf.DUMMYFUNCTION("GOOGLETRANSLATE(B186, ""en"", ""zh"")"),"用于制作具有风效的物品。")</f>
        <v>用于制作具有风效的物品。</v>
      </c>
      <c r="K186" s="25" t="str">
        <f>IFERROR(__xludf.DUMMYFUNCTION("GOOGLETRANSLATE(B186, ""en"", ""vi"")"),"Được sử dụng để chế tạo các mặt hàng với hiệu ứng gió.")</f>
        <v>Được sử dụng để chế tạo các mặt hàng với hiệu ứng gió.</v>
      </c>
      <c r="L186" s="42" t="str">
        <f>IFERROR(__xludf.DUMMYFUNCTION("GOOGLETRANSLATE(B186, ""en"", ""hr"")"),"Koristi se za izradu predmeta s efektom vjetra.")</f>
        <v>Koristi se za izradu predmeta s efektom vjetra.</v>
      </c>
      <c r="M186" s="26"/>
      <c r="N186" s="26"/>
      <c r="O186" s="26"/>
      <c r="P186" s="26"/>
      <c r="Q186" s="26"/>
      <c r="R186" s="26"/>
      <c r="S186" s="26"/>
      <c r="T186" s="26"/>
      <c r="U186" s="26"/>
      <c r="V186" s="26"/>
      <c r="W186" s="26"/>
      <c r="X186" s="26"/>
      <c r="Y186" s="26"/>
      <c r="Z186" s="26"/>
      <c r="AA186" s="26"/>
      <c r="AB186" s="26"/>
    </row>
    <row r="187">
      <c r="A187" s="21" t="s">
        <v>801</v>
      </c>
      <c r="B187" s="22" t="s">
        <v>802</v>
      </c>
      <c r="C187" s="23" t="str">
        <f>IFERROR(__xludf.DUMMYFUNCTION("GOOGLETRANSLATE(B187, ""en"", ""fr"")"),"L'œil du cyclone")</f>
        <v>L'œil du cyclone</v>
      </c>
      <c r="D187" s="23" t="str">
        <f>IFERROR(__xludf.DUMMYFUNCTION("GOOGLETRANSLATE(B187, ""en"", ""es"")"),"Ojo de la tormenta")</f>
        <v>Ojo de la tormenta</v>
      </c>
      <c r="E187" s="23" t="str">
        <f>IFERROR(__xludf.DUMMYFUNCTION("GOOGLETRANSLATE(B187, ""en"", ""ru"")"),"Центр урагана")</f>
        <v>Центр урагана</v>
      </c>
      <c r="F187" s="23" t="str">
        <f>IFERROR(__xludf.DUMMYFUNCTION("GOOGLETRANSLATE(B187, ""en"", ""tr"")"),"Fırtınanın gözü")</f>
        <v>Fırtınanın gözü</v>
      </c>
      <c r="G187" s="23" t="str">
        <f>IFERROR(__xludf.DUMMYFUNCTION("GOOGLETRANSLATE(B187, ""en"", ""pt"")"),"Olho da tempestade")</f>
        <v>Olho da tempestade</v>
      </c>
      <c r="H187" s="24" t="str">
        <f>IFERROR(__xludf.DUMMYFUNCTION("GOOGLETRANSLATE(B187, ""en"", ""de"")"),"Das Auge des Sturms")</f>
        <v>Das Auge des Sturms</v>
      </c>
      <c r="I187" s="23" t="str">
        <f>IFERROR(__xludf.DUMMYFUNCTION("GOOGLETRANSLATE(B187, ""en"", ""pl"")"),"Oko cyklonu")</f>
        <v>Oko cyklonu</v>
      </c>
      <c r="J187" s="25" t="str">
        <f>IFERROR(__xludf.DUMMYFUNCTION("GOOGLETRANSLATE(B187, ""en"", ""zh"")"),"风暴之眼")</f>
        <v>风暴之眼</v>
      </c>
      <c r="K187" s="25" t="str">
        <f>IFERROR(__xludf.DUMMYFUNCTION("GOOGLETRANSLATE(B187, ""en"", ""vi"")"),"Mắt Bão")</f>
        <v>Mắt Bão</v>
      </c>
      <c r="L187" s="42" t="str">
        <f>IFERROR(__xludf.DUMMYFUNCTION("GOOGLETRANSLATE(B187, ""en"", ""hr"")"),"Oko oluje")</f>
        <v>Oko oluje</v>
      </c>
      <c r="M187" s="26"/>
      <c r="N187" s="26"/>
      <c r="O187" s="26"/>
      <c r="P187" s="26"/>
      <c r="Q187" s="26"/>
      <c r="R187" s="26"/>
      <c r="S187" s="26"/>
      <c r="T187" s="26"/>
      <c r="U187" s="26"/>
      <c r="V187" s="26"/>
      <c r="W187" s="26"/>
      <c r="X187" s="26"/>
      <c r="Y187" s="26"/>
      <c r="Z187" s="26"/>
      <c r="AA187" s="26"/>
      <c r="AB187" s="26"/>
    </row>
    <row r="188">
      <c r="A188" s="21" t="s">
        <v>803</v>
      </c>
      <c r="B188" s="22" t="s">
        <v>804</v>
      </c>
      <c r="C188" s="23" t="str">
        <f>IFERROR(__xludf.DUMMYFUNCTION("GOOGLETRANSLATE(B188, ""en"", ""fr"")"),"La force d'un ouragan contenu dans un petit joyau.")</f>
        <v>La force d'un ouragan contenu dans un petit joyau.</v>
      </c>
      <c r="D188" s="23" t="str">
        <f>IFERROR(__xludf.DUMMYFUNCTION("GOOGLETRANSLATE(B188, ""en"", ""es"")"),"La fuerza de un huracán contenida dentro de una pequeña gema.")</f>
        <v>La fuerza de un huracán contenida dentro de una pequeña gema.</v>
      </c>
      <c r="E188" s="23" t="str">
        <f>IFERROR(__xludf.DUMMYFUNCTION("GOOGLETRANSLATE(B188, ""en"", ""ru"")"),"Сила урагана, содержащейся в небольшом драгоценном камне.")</f>
        <v>Сила урагана, содержащейся в небольшом драгоценном камне.</v>
      </c>
      <c r="F188" s="23" t="str">
        <f>IFERROR(__xludf.DUMMYFUNCTION("GOOGLETRANSLATE(B188, ""en"", ""tr"")"),"Küçük bir mücevher içinde bulunan bir kasırganın gücü.")</f>
        <v>Küçük bir mücevher içinde bulunan bir kasırganın gücü.</v>
      </c>
      <c r="G188" s="23" t="str">
        <f>IFERROR(__xludf.DUMMYFUNCTION("GOOGLETRANSLATE(B188, ""en"", ""pt"")"),"A força de um furacão contida em uma pequena jóia.")</f>
        <v>A força de um furacão contida em uma pequena jóia.</v>
      </c>
      <c r="H188" s="24" t="str">
        <f>IFERROR(__xludf.DUMMYFUNCTION("GOOGLETRANSLATE(B188, ""en"", ""de"")"),"Die Kraft eines Hurrikans in einem kleinen Edelstein.")</f>
        <v>Die Kraft eines Hurrikans in einem kleinen Edelstein.</v>
      </c>
      <c r="I188" s="23" t="str">
        <f>IFERROR(__xludf.DUMMYFUNCTION("GOOGLETRANSLATE(B188, ""en"", ""pl"")"),"Siła huraganu zawarta w małym klejnotu.")</f>
        <v>Siła huraganu zawarta w małym klejnotu.</v>
      </c>
      <c r="J188" s="25" t="str">
        <f>IFERROR(__xludf.DUMMYFUNCTION("GOOGLETRANSLATE(B188, ""en"", ""zh"")"),"飓风的力量包含在一颗小宝石中。")</f>
        <v>飓风的力量包含在一颗小宝石中。</v>
      </c>
      <c r="K188" s="25" t="str">
        <f>IFERROR(__xludf.DUMMYFUNCTION("GOOGLETRANSLATE(B188, ""en"", ""vi"")"),"Lực của một cơn bão chứa trong một viên đá quý nhỏ.")</f>
        <v>Lực của một cơn bão chứa trong một viên đá quý nhỏ.</v>
      </c>
      <c r="L188" s="42" t="str">
        <f>IFERROR(__xludf.DUMMYFUNCTION("GOOGLETRANSLATE(B188, ""en"", ""hr"")"),"Sila uragana sadržana u malom dragulju.")</f>
        <v>Sila uragana sadržana u malom dragulju.</v>
      </c>
      <c r="M188" s="26"/>
      <c r="N188" s="26"/>
      <c r="O188" s="26"/>
      <c r="P188" s="26"/>
      <c r="Q188" s="26"/>
      <c r="R188" s="26"/>
      <c r="S188" s="26"/>
      <c r="T188" s="26"/>
      <c r="U188" s="26"/>
      <c r="V188" s="26"/>
      <c r="W188" s="26"/>
      <c r="X188" s="26"/>
      <c r="Y188" s="26"/>
      <c r="Z188" s="26"/>
      <c r="AA188" s="26"/>
      <c r="AB188" s="26"/>
    </row>
    <row r="189">
      <c r="A189" s="21" t="s">
        <v>805</v>
      </c>
      <c r="B189" s="22" t="s">
        <v>806</v>
      </c>
      <c r="C189" s="23" t="str">
        <f>IFERROR(__xludf.DUMMYFUNCTION("GOOGLETRANSLATE(B189, ""en"", ""fr"")"),"Gemme sanguin")</f>
        <v>Gemme sanguin</v>
      </c>
      <c r="D189" s="23" t="str">
        <f>IFERROR(__xludf.DUMMYFUNCTION("GOOGLETRANSLATE(B189, ""en"", ""es"")"),"Gema de sangre")</f>
        <v>Gema de sangre</v>
      </c>
      <c r="E189" s="23" t="str">
        <f>IFERROR(__xludf.DUMMYFUNCTION("GOOGLETRANSLATE(B189, ""en"", ""ru"")"),"Кровавый драгоценный камень")</f>
        <v>Кровавый драгоценный камень</v>
      </c>
      <c r="F189" s="23" t="str">
        <f>IFERROR(__xludf.DUMMYFUNCTION("GOOGLETRANSLATE(B189, ""en"", ""tr"")"),"Kanlı mücevher")</f>
        <v>Kanlı mücevher</v>
      </c>
      <c r="G189" s="23" t="str">
        <f>IFERROR(__xludf.DUMMYFUNCTION("GOOGLETRANSLATE(B189, ""en"", ""pt"")"),"Jóia de sangue")</f>
        <v>Jóia de sangue</v>
      </c>
      <c r="H189" s="24" t="str">
        <f>IFERROR(__xludf.DUMMYFUNCTION("GOOGLETRANSLATE(B189, ""en"", ""de"")"),"Blutstein")</f>
        <v>Blutstein</v>
      </c>
      <c r="I189" s="23" t="str">
        <f>IFERROR(__xludf.DUMMYFUNCTION("GOOGLETRANSLATE(B189, ""en"", ""pl"")"),"Klejnot krwi")</f>
        <v>Klejnot krwi</v>
      </c>
      <c r="J189" s="25" t="str">
        <f>IFERROR(__xludf.DUMMYFUNCTION("GOOGLETRANSLATE(B189, ""en"", ""zh"")"),"血宝石")</f>
        <v>血宝石</v>
      </c>
      <c r="K189" s="25" t="str">
        <f>IFERROR(__xludf.DUMMYFUNCTION("GOOGLETRANSLATE(B189, ""en"", ""vi"")"),"Đá quý máu")</f>
        <v>Đá quý máu</v>
      </c>
      <c r="L189" s="42" t="str">
        <f>IFERROR(__xludf.DUMMYFUNCTION("GOOGLETRANSLATE(B189, ""en"", ""hr"")"),"Krvni dragulj")</f>
        <v>Krvni dragulj</v>
      </c>
      <c r="M189" s="26"/>
      <c r="N189" s="26"/>
      <c r="O189" s="26"/>
      <c r="P189" s="26"/>
      <c r="Q189" s="26"/>
      <c r="R189" s="26"/>
      <c r="S189" s="26"/>
      <c r="T189" s="26"/>
      <c r="U189" s="26"/>
      <c r="V189" s="26"/>
      <c r="W189" s="26"/>
      <c r="X189" s="26"/>
      <c r="Y189" s="26"/>
      <c r="Z189" s="26"/>
      <c r="AA189" s="26"/>
      <c r="AB189" s="26"/>
    </row>
    <row r="190">
      <c r="A190" s="21" t="s">
        <v>807</v>
      </c>
      <c r="B190" s="22" t="s">
        <v>808</v>
      </c>
      <c r="C190" s="23" t="str">
        <f>IFERROR(__xludf.DUMMYFUNCTION("GOOGLETRANSLATE(B190, ""en"", ""fr"")"),"Utilisé pour fabriquer des articles avec un effet de vie.")</f>
        <v>Utilisé pour fabriquer des articles avec un effet de vie.</v>
      </c>
      <c r="D190" s="23" t="str">
        <f>IFERROR(__xludf.DUMMYFUNCTION("GOOGLETRANSLATE(B190, ""en"", ""es"")"),"Se usa para crear artículos con un efecto de vida de vida.")</f>
        <v>Se usa para crear artículos con un efecto de vida de vida.</v>
      </c>
      <c r="E190" s="23" t="str">
        <f>IFERROR(__xludf.DUMMYFUNCTION("GOOGLETRANSLATE(B190, ""en"", ""ru"")"),"Используется для создания предметов с личным эффектом.")</f>
        <v>Используется для создания предметов с личным эффектом.</v>
      </c>
      <c r="F190" s="23" t="str">
        <f>IFERROR(__xludf.DUMMYFUNCTION("GOOGLETRANSLATE(B190, ""en"", ""tr"")"),"Yaşam etkisi olan eşyalar yapmak için kullanılır.")</f>
        <v>Yaşam etkisi olan eşyalar yapmak için kullanılır.</v>
      </c>
      <c r="G190" s="23" t="str">
        <f>IFERROR(__xludf.DUMMYFUNCTION("GOOGLETRANSLATE(B190, ""en"", ""pt"")"),"Usado para criar itens com um efeito de vida.")</f>
        <v>Usado para criar itens com um efeito de vida.</v>
      </c>
      <c r="H190" s="24" t="str">
        <f>IFERROR(__xludf.DUMMYFUNCTION("GOOGLETRANSLATE(B190, ""en"", ""de"")"),"Wird verwendet, um Gegenstände mit einem lebensverbesserten Effekt zu erstellen.")</f>
        <v>Wird verwendet, um Gegenstände mit einem lebensverbesserten Effekt zu erstellen.</v>
      </c>
      <c r="I190" s="23" t="str">
        <f>IFERROR(__xludf.DUMMYFUNCTION("GOOGLETRANSLATE(B190, ""en"", ""pl"")"),"Służy do tworzenia przedmiotów z efektem życia.")</f>
        <v>Służy do tworzenia przedmiotów z efektem życia.</v>
      </c>
      <c r="J190" s="25" t="str">
        <f>IFERROR(__xludf.DUMMYFUNCTION("GOOGLETRANSLATE(B190, ""en"", ""zh"")"),"用于制作具有生命效果的物品。")</f>
        <v>用于制作具有生命效果的物品。</v>
      </c>
      <c r="K190" s="25" t="str">
        <f>IFERROR(__xludf.DUMMYFUNCTION("GOOGLETRANSLATE(B190, ""en"", ""vi"")"),"Được sử dụng để chế tạo các mặt hàng với hiệu ứng Lifesteal.")</f>
        <v>Được sử dụng để chế tạo các mặt hàng với hiệu ứng Lifesteal.</v>
      </c>
      <c r="L190" s="42" t="str">
        <f>IFERROR(__xludf.DUMMYFUNCTION("GOOGLETRANSLATE(B190, ""en"", ""hr"")"),"Koristi se za izradu predmeta s životnim učinkom.")</f>
        <v>Koristi se za izradu predmeta s životnim učinkom.</v>
      </c>
      <c r="M190" s="26"/>
      <c r="N190" s="26"/>
      <c r="O190" s="26"/>
      <c r="P190" s="26"/>
      <c r="Q190" s="26"/>
      <c r="R190" s="26"/>
      <c r="S190" s="26"/>
      <c r="T190" s="26"/>
      <c r="U190" s="26"/>
      <c r="V190" s="26"/>
      <c r="W190" s="26"/>
      <c r="X190" s="26"/>
      <c r="Y190" s="26"/>
      <c r="Z190" s="26"/>
      <c r="AA190" s="26"/>
      <c r="AB190" s="26"/>
    </row>
    <row r="191">
      <c r="A191" s="21" t="s">
        <v>809</v>
      </c>
      <c r="B191" s="22" t="s">
        <v>810</v>
      </c>
      <c r="C191" s="23" t="str">
        <f>IFERROR(__xludf.DUMMYFUNCTION("GOOGLETRANSLATE(B191, ""en"", ""fr"")"),"Cœur de la montagne")</f>
        <v>Cœur de la montagne</v>
      </c>
      <c r="D191" s="23" t="str">
        <f>IFERROR(__xludf.DUMMYFUNCTION("GOOGLETRANSLATE(B191, ""en"", ""es"")"),"Corazón de la montaña")</f>
        <v>Corazón de la montaña</v>
      </c>
      <c r="E191" s="23" t="str">
        <f>IFERROR(__xludf.DUMMYFUNCTION("GOOGLETRANSLATE(B191, ""en"", ""ru"")"),"Сердце горы")</f>
        <v>Сердце горы</v>
      </c>
      <c r="F191" s="23" t="str">
        <f>IFERROR(__xludf.DUMMYFUNCTION("GOOGLETRANSLATE(B191, ""en"", ""tr"")"),"Dağın Kalbi")</f>
        <v>Dağın Kalbi</v>
      </c>
      <c r="G191" s="23" t="str">
        <f>IFERROR(__xludf.DUMMYFUNCTION("GOOGLETRANSLATE(B191, ""en"", ""pt"")"),"Coração da montanha")</f>
        <v>Coração da montanha</v>
      </c>
      <c r="H191" s="24" t="str">
        <f>IFERROR(__xludf.DUMMYFUNCTION("GOOGLETRANSLATE(B191, ""en"", ""de"")"),"Herz des Berges")</f>
        <v>Herz des Berges</v>
      </c>
      <c r="I191" s="23" t="str">
        <f>IFERROR(__xludf.DUMMYFUNCTION("GOOGLETRANSLATE(B191, ""en"", ""pl"")"),"Serce góry")</f>
        <v>Serce góry</v>
      </c>
      <c r="J191" s="25" t="str">
        <f>IFERROR(__xludf.DUMMYFUNCTION("GOOGLETRANSLATE(B191, ""en"", ""zh"")"),"山心")</f>
        <v>山心</v>
      </c>
      <c r="K191" s="25" t="str">
        <f>IFERROR(__xludf.DUMMYFUNCTION("GOOGLETRANSLATE(B191, ""en"", ""vi"")"),"Trái tim của ngọn núi")</f>
        <v>Trái tim của ngọn núi</v>
      </c>
      <c r="L191" s="42" t="str">
        <f>IFERROR(__xludf.DUMMYFUNCTION("GOOGLETRANSLATE(B191, ""en"", ""hr"")"),"Srce planine")</f>
        <v>Srce planine</v>
      </c>
      <c r="M191" s="26"/>
      <c r="N191" s="26"/>
      <c r="O191" s="26"/>
      <c r="P191" s="26"/>
      <c r="Q191" s="26"/>
      <c r="R191" s="26"/>
      <c r="S191" s="26"/>
      <c r="T191" s="26"/>
      <c r="U191" s="26"/>
      <c r="V191" s="26"/>
      <c r="W191" s="26"/>
      <c r="X191" s="26"/>
      <c r="Y191" s="26"/>
      <c r="Z191" s="26"/>
      <c r="AA191" s="26"/>
      <c r="AB191" s="26"/>
    </row>
    <row r="192">
      <c r="A192" s="21" t="s">
        <v>811</v>
      </c>
      <c r="B192" s="22" t="s">
        <v>812</v>
      </c>
      <c r="C192" s="23" t="str">
        <f>IFERROR(__xludf.DUMMYFUNCTION("GOOGLETRANSLATE(B192, ""en"", ""fr"")"),"Une anomalie géologique qui soulève tout terrain au-dessus, créant des montagnes artificielles.")</f>
        <v>Une anomalie géologique qui soulève tout terrain au-dessus, créant des montagnes artificielles.</v>
      </c>
      <c r="D192" s="23" t="str">
        <f>IFERROR(__xludf.DUMMYFUNCTION("GOOGLETRANSLATE(B192, ""en"", ""es"")"),"Una anomalía geológica que levanta cualquier terreno por encima de él, creando montañas artificiales.")</f>
        <v>Una anomalía geológica que levanta cualquier terreno por encima de él, creando montañas artificiales.</v>
      </c>
      <c r="E192" s="23" t="str">
        <f>IFERROR(__xludf.DUMMYFUNCTION("GOOGLETRANSLATE(B192, ""en"", ""ru"")"),"Геологическая аномалия, которая поднимает любую почву над ним, создавая искусственные горы.")</f>
        <v>Геологическая аномалия, которая поднимает любую почву над ним, создавая искусственные горы.</v>
      </c>
      <c r="F192" s="23" t="str">
        <f>IFERROR(__xludf.DUMMYFUNCTION("GOOGLETRANSLATE(B192, ""en"", ""tr"")"),"Üstünde herhangi bir zemini yükselten, yapay dağlar yaratan jeolojik bir anomali.")</f>
        <v>Üstünde herhangi bir zemini yükselten, yapay dağlar yaratan jeolojik bir anomali.</v>
      </c>
      <c r="G192" s="23" t="str">
        <f>IFERROR(__xludf.DUMMYFUNCTION("GOOGLETRANSLATE(B192, ""en"", ""pt"")"),"Uma anomalia geológica que levanta qualquer terreno acima dele, criando montanhas artificiais.")</f>
        <v>Uma anomalia geológica que levanta qualquer terreno acima dele, criando montanhas artificiais.</v>
      </c>
      <c r="H192" s="24" t="str">
        <f>IFERROR(__xludf.DUMMYFUNCTION("GOOGLETRANSLATE(B192, ""en"", ""de"")"),"Eine geologische Anomalie, die jeden Boden darüber erhöht und künstliche Berge schafft.")</f>
        <v>Eine geologische Anomalie, die jeden Boden darüber erhöht und künstliche Berge schafft.</v>
      </c>
      <c r="I192" s="23" t="str">
        <f>IFERROR(__xludf.DUMMYFUNCTION("GOOGLETRANSLATE(B192, ""en"", ""pl"")"),"Anomalia geologiczna, która podnosi nad nim dowolną podstawę, tworząc sztuczne góry.")</f>
        <v>Anomalia geologiczna, która podnosi nad nim dowolną podstawę, tworząc sztuczne góry.</v>
      </c>
      <c r="J192" s="25" t="str">
        <f>IFERROR(__xludf.DUMMYFUNCTION("GOOGLETRANSLATE(B192, ""en"", ""zh"")"),"地质异常，它在其上方提高任何地面，形成人造山脉。")</f>
        <v>地质异常，它在其上方提高任何地面，形成人造山脉。</v>
      </c>
      <c r="K192" s="25" t="str">
        <f>IFERROR(__xludf.DUMMYFUNCTION("GOOGLETRANSLATE(B192, ""en"", ""vi"")"),"Một sự bất thường về địa chất làm tăng bất kỳ nền tảng nào phía trên nó, tạo ra những ngọn núi nhân tạo.")</f>
        <v>Một sự bất thường về địa chất làm tăng bất kỳ nền tảng nào phía trên nó, tạo ra những ngọn núi nhân tạo.</v>
      </c>
      <c r="L192" s="42" t="str">
        <f>IFERROR(__xludf.DUMMYFUNCTION("GOOGLETRANSLATE(B192, ""en"", ""hr"")"),"Geološka anomalija koja podiže bilo koje tlo iznad njega, stvarajući umjetne planine.")</f>
        <v>Geološka anomalija koja podiže bilo koje tlo iznad njega, stvarajući umjetne planine.</v>
      </c>
      <c r="M192" s="26"/>
      <c r="N192" s="26"/>
      <c r="O192" s="26"/>
      <c r="P192" s="26"/>
      <c r="Q192" s="26"/>
      <c r="R192" s="26"/>
      <c r="S192" s="26"/>
      <c r="T192" s="26"/>
      <c r="U192" s="26"/>
      <c r="V192" s="26"/>
      <c r="W192" s="26"/>
      <c r="X192" s="26"/>
      <c r="Y192" s="26"/>
      <c r="Z192" s="26"/>
      <c r="AA192" s="26"/>
      <c r="AB192" s="26"/>
    </row>
    <row r="193">
      <c r="A193" s="21" t="s">
        <v>813</v>
      </c>
      <c r="B193" s="22" t="s">
        <v>814</v>
      </c>
      <c r="C193" s="23" t="str">
        <f>IFERROR(__xludf.DUMMYFUNCTION("GOOGLETRANSLATE(B193, ""en"", ""fr"")"),"Personnel d'incendie")</f>
        <v>Personnel d'incendie</v>
      </c>
      <c r="D193" s="23" t="str">
        <f>IFERROR(__xludf.DUMMYFUNCTION("GOOGLETRANSLATE(B193, ""en"", ""es"")"),"Personal de bomberos")</f>
        <v>Personal de bomberos</v>
      </c>
      <c r="E193" s="23" t="str">
        <f>IFERROR(__xludf.DUMMYFUNCTION("GOOGLETRANSLATE(B193, ""en"", ""ru"")"),"Пожарный персонал")</f>
        <v>Пожарный персонал</v>
      </c>
      <c r="F193" s="23" t="str">
        <f>IFERROR(__xludf.DUMMYFUNCTION("GOOGLETRANSLATE(B193, ""en"", ""tr"")"),"İtfaiye personeli")</f>
        <v>İtfaiye personeli</v>
      </c>
      <c r="G193" s="23" t="str">
        <f>IFERROR(__xludf.DUMMYFUNCTION("GOOGLETRANSLATE(B193, ""en"", ""pt"")"),"Funcionários de incêndio")</f>
        <v>Funcionários de incêndio</v>
      </c>
      <c r="H193" s="24" t="str">
        <f>IFERROR(__xludf.DUMMYFUNCTION("GOOGLETRANSLATE(B193, ""en"", ""de"")"),"Feuerwehrpersonal")</f>
        <v>Feuerwehrpersonal</v>
      </c>
      <c r="I193" s="23" t="str">
        <f>IFERROR(__xludf.DUMMYFUNCTION("GOOGLETRANSLATE(B193, ""en"", ""pl"")"),"Personel straży pożarnej")</f>
        <v>Personel straży pożarnej</v>
      </c>
      <c r="J193" s="25" t="str">
        <f>IFERROR(__xludf.DUMMYFUNCTION("GOOGLETRANSLATE(B193, ""en"", ""zh"")"),"消防人员")</f>
        <v>消防人员</v>
      </c>
      <c r="K193" s="25" t="str">
        <f>IFERROR(__xludf.DUMMYFUNCTION("GOOGLETRANSLATE(B193, ""en"", ""vi"")"),"Nhân viên cứu hỏa")</f>
        <v>Nhân viên cứu hỏa</v>
      </c>
      <c r="L193" s="42" t="str">
        <f>IFERROR(__xludf.DUMMYFUNCTION("GOOGLETRANSLATE(B193, ""en"", ""hr"")"),"Vatrogasno osoblje")</f>
        <v>Vatrogasno osoblje</v>
      </c>
      <c r="M193" s="26"/>
      <c r="N193" s="26"/>
      <c r="O193" s="26"/>
      <c r="P193" s="26"/>
      <c r="Q193" s="26"/>
      <c r="R193" s="26"/>
      <c r="S193" s="26"/>
      <c r="T193" s="26"/>
      <c r="U193" s="26"/>
      <c r="V193" s="26"/>
      <c r="W193" s="26"/>
      <c r="X193" s="26"/>
      <c r="Y193" s="26"/>
      <c r="Z193" s="26"/>
      <c r="AA193" s="26"/>
      <c r="AB193" s="26"/>
    </row>
    <row r="194">
      <c r="A194" s="21" t="s">
        <v>815</v>
      </c>
      <c r="B194" s="22" t="s">
        <v>816</v>
      </c>
      <c r="C194" s="23" t="str">
        <f>IFERROR(__xludf.DUMMYFUNCTION("GOOGLETRANSLATE(B194, ""en"", ""fr"")"),"Tire un incendie qui inflige des dégâts.")</f>
        <v>Tire un incendie qui inflige des dégâts.</v>
      </c>
      <c r="D194" s="23" t="str">
        <f>IFERROR(__xludf.DUMMYFUNCTION("GOOGLETRANSLATE(B194, ""en"", ""es"")"),"Dispara fuego que causa daño.")</f>
        <v>Dispara fuego que causa daño.</v>
      </c>
      <c r="E194" s="23" t="str">
        <f>IFERROR(__xludf.DUMMYFUNCTION("GOOGLETRANSLATE(B194, ""en"", ""ru"")"),"Стреляет огонь, который наносит ущерб.")</f>
        <v>Стреляет огонь, который наносит ущерб.</v>
      </c>
      <c r="F194" s="23" t="str">
        <f>IFERROR(__xludf.DUMMYFUNCTION("GOOGLETRANSLATE(B194, ""en"", ""tr"")"),"Hasar veren ateş çeker.")</f>
        <v>Hasar veren ateş çeker.</v>
      </c>
      <c r="G194" s="23" t="str">
        <f>IFERROR(__xludf.DUMMYFUNCTION("GOOGLETRANSLATE(B194, ""en"", ""pt"")"),"Dispara fogo que causa danos.")</f>
        <v>Dispara fogo que causa danos.</v>
      </c>
      <c r="H194" s="24" t="str">
        <f>IFERROR(__xludf.DUMMYFUNCTION("GOOGLETRANSLATE(B194, ""en"", ""de"")"),"Schießt Feuer, der Schaden verursacht.")</f>
        <v>Schießt Feuer, der Schaden verursacht.</v>
      </c>
      <c r="I194" s="23" t="str">
        <f>IFERROR(__xludf.DUMMYFUNCTION("GOOGLETRANSLATE(B194, ""en"", ""pl"")"),"Strzela ogień, który zadaje obrażenia.")</f>
        <v>Strzela ogień, który zadaje obrażenia.</v>
      </c>
      <c r="J194" s="25" t="str">
        <f>IFERROR(__xludf.DUMMYFUNCTION("GOOGLETRANSLATE(B194, ""en"", ""zh"")"),"射击造成伤害的大火。")</f>
        <v>射击造成伤害的大火。</v>
      </c>
      <c r="K194" s="25" t="str">
        <f>IFERROR(__xludf.DUMMYFUNCTION("GOOGLETRANSLATE(B194, ""en"", ""vi"")"),"Bắn lửa mà gây sát thương.")</f>
        <v>Bắn lửa mà gây sát thương.</v>
      </c>
      <c r="L194" s="42" t="str">
        <f>IFERROR(__xludf.DUMMYFUNCTION("GOOGLETRANSLATE(B194, ""en"", ""hr"")"),"Puca vatra koja nanosi štetu.")</f>
        <v>Puca vatra koja nanosi štetu.</v>
      </c>
      <c r="M194" s="26"/>
      <c r="N194" s="26"/>
      <c r="O194" s="26"/>
      <c r="P194" s="26"/>
      <c r="Q194" s="26"/>
      <c r="R194" s="26"/>
      <c r="S194" s="26"/>
      <c r="T194" s="26"/>
      <c r="U194" s="26"/>
      <c r="V194" s="26"/>
      <c r="W194" s="26"/>
      <c r="X194" s="26"/>
      <c r="Y194" s="26"/>
      <c r="Z194" s="26"/>
      <c r="AA194" s="26"/>
      <c r="AB194" s="26"/>
    </row>
    <row r="195">
      <c r="A195" s="21" t="s">
        <v>817</v>
      </c>
      <c r="B195" s="22" t="s">
        <v>818</v>
      </c>
      <c r="C195" s="23" t="str">
        <f>IFERROR(__xludf.DUMMYFUNCTION("GOOGLETRANSLATE(B195, ""en"", ""fr"")"),"Personnel des Super Fire")</f>
        <v>Personnel des Super Fire</v>
      </c>
      <c r="D195" s="23" t="str">
        <f>IFERROR(__xludf.DUMMYFUNCTION("GOOGLETRANSLATE(B195, ""en"", ""es"")"),"Personal de Super Fire")</f>
        <v>Personal de Super Fire</v>
      </c>
      <c r="E195" s="23" t="str">
        <f>IFERROR(__xludf.DUMMYFUNCTION("GOOGLETRANSLATE(B195, ""en"", ""ru"")"),"Super Fire Staff")</f>
        <v>Super Fire Staff</v>
      </c>
      <c r="F195" s="23" t="str">
        <f>IFERROR(__xludf.DUMMYFUNCTION("GOOGLETRANSLATE(B195, ""en"", ""tr"")"),"Süper İtfaiye Personeli")</f>
        <v>Süper İtfaiye Personeli</v>
      </c>
      <c r="G195" s="23" t="str">
        <f>IFERROR(__xludf.DUMMYFUNCTION("GOOGLETRANSLATE(B195, ""en"", ""pt"")"),"Super Fire Staff")</f>
        <v>Super Fire Staff</v>
      </c>
      <c r="H195" s="24" t="str">
        <f>IFERROR(__xludf.DUMMYFUNCTION("GOOGLETRANSLATE(B195, ""en"", ""de"")"),"Superfeuerpersonal")</f>
        <v>Superfeuerpersonal</v>
      </c>
      <c r="I195" s="23" t="str">
        <f>IFERROR(__xludf.DUMMYFUNCTION("GOOGLETRANSLATE(B195, ""en"", ""pl"")"),"Super Fire Staff")</f>
        <v>Super Fire Staff</v>
      </c>
      <c r="J195" s="25" t="str">
        <f>IFERROR(__xludf.DUMMYFUNCTION("GOOGLETRANSLATE(B195, ""en"", ""zh"")"),"超级消防人员")</f>
        <v>超级消防人员</v>
      </c>
      <c r="K195" s="25" t="str">
        <f>IFERROR(__xludf.DUMMYFUNCTION("GOOGLETRANSLATE(B195, ""en"", ""vi"")"),"Nhân viên siêu cứu hỏa")</f>
        <v>Nhân viên siêu cứu hỏa</v>
      </c>
      <c r="L195" s="42" t="str">
        <f>IFERROR(__xludf.DUMMYFUNCTION("GOOGLETRANSLATE(B195, ""en"", ""hr"")"),"Super vatrogasno osoblje")</f>
        <v>Super vatrogasno osoblje</v>
      </c>
      <c r="M195" s="26"/>
      <c r="N195" s="26"/>
      <c r="O195" s="26"/>
      <c r="P195" s="26"/>
      <c r="Q195" s="26"/>
      <c r="R195" s="26"/>
      <c r="S195" s="26"/>
      <c r="T195" s="26"/>
      <c r="U195" s="26"/>
      <c r="V195" s="26"/>
      <c r="W195" s="26"/>
      <c r="X195" s="26"/>
      <c r="Y195" s="26"/>
      <c r="Z195" s="26"/>
      <c r="AA195" s="26"/>
      <c r="AB195" s="26"/>
    </row>
    <row r="196">
      <c r="A196" s="21" t="s">
        <v>819</v>
      </c>
      <c r="B196" s="22" t="s">
        <v>820</v>
      </c>
      <c r="C196" s="23" t="str">
        <f>IFERROR(__xludf.DUMMYFUNCTION("GOOGLETRANSLATE(B196, ""en"", ""fr"")"),"Tire du feu qui tire plus de feu.")</f>
        <v>Tire du feu qui tire plus de feu.</v>
      </c>
      <c r="D196" s="23" t="str">
        <f>IFERROR(__xludf.DUMMYFUNCTION("GOOGLETRANSLATE(B196, ""en"", ""es"")"),"Dispara fuego que dispara más fuego.")</f>
        <v>Dispara fuego que dispara más fuego.</v>
      </c>
      <c r="E196" s="23" t="str">
        <f>IFERROR(__xludf.DUMMYFUNCTION("GOOGLETRANSLATE(B196, ""en"", ""ru"")"),"Стреляет огнем, который стреляет больше огня.")</f>
        <v>Стреляет огнем, который стреляет больше огня.</v>
      </c>
      <c r="F196" s="23" t="str">
        <f>IFERROR(__xludf.DUMMYFUNCTION("GOOGLETRANSLATE(B196, ""en"", ""tr"")"),"Daha fazla ateş çeken ateş çeker.")</f>
        <v>Daha fazla ateş çeken ateş çeker.</v>
      </c>
      <c r="G196" s="23" t="str">
        <f>IFERROR(__xludf.DUMMYFUNCTION("GOOGLETRANSLATE(B196, ""en"", ""pt"")"),"Dispara fogo que dispara mais fogo.")</f>
        <v>Dispara fogo que dispara mais fogo.</v>
      </c>
      <c r="H196" s="24" t="str">
        <f>IFERROR(__xludf.DUMMYFUNCTION("GOOGLETRANSLATE(B196, ""en"", ""de"")"),"Schießt Feuer, das mehr Feuer schießt.")</f>
        <v>Schießt Feuer, das mehr Feuer schießt.</v>
      </c>
      <c r="I196" s="23" t="str">
        <f>IFERROR(__xludf.DUMMYFUNCTION("GOOGLETRANSLATE(B196, ""en"", ""pl"")"),"Strzela ogniem, który strzela więcej ognia.")</f>
        <v>Strzela ogniem, który strzela więcej ognia.</v>
      </c>
      <c r="J196" s="25" t="str">
        <f>IFERROR(__xludf.DUMMYFUNCTION("GOOGLETRANSLATE(B196, ""en"", ""zh"")"),"开火，射击更多火。")</f>
        <v>开火，射击更多火。</v>
      </c>
      <c r="K196" s="25" t="str">
        <f>IFERROR(__xludf.DUMMYFUNCTION("GOOGLETRANSLATE(B196, ""en"", ""vi"")"),"Bắn lửa bắn nhiều lửa hơn.")</f>
        <v>Bắn lửa bắn nhiều lửa hơn.</v>
      </c>
      <c r="L196" s="42" t="str">
        <f>IFERROR(__xludf.DUMMYFUNCTION("GOOGLETRANSLATE(B196, ""en"", ""hr"")"),"Puca vatra koja puca više vatre.")</f>
        <v>Puca vatra koja puca više vatre.</v>
      </c>
      <c r="M196" s="26"/>
      <c r="N196" s="26"/>
      <c r="O196" s="26"/>
      <c r="P196" s="26"/>
      <c r="Q196" s="26"/>
      <c r="R196" s="26"/>
      <c r="S196" s="26"/>
      <c r="T196" s="26"/>
      <c r="U196" s="26"/>
      <c r="V196" s="26"/>
      <c r="W196" s="26"/>
      <c r="X196" s="26"/>
      <c r="Y196" s="26"/>
      <c r="Z196" s="26"/>
      <c r="AA196" s="26"/>
      <c r="AB196" s="26"/>
    </row>
    <row r="197">
      <c r="A197" s="21" t="s">
        <v>821</v>
      </c>
      <c r="B197" s="22" t="s">
        <v>822</v>
      </c>
      <c r="C197" s="23" t="str">
        <f>IFERROR(__xludf.DUMMYFUNCTION("GOOGLETRANSLATE(B197, ""en"", ""fr"")"),"Éolien")</f>
        <v>Éolien</v>
      </c>
      <c r="D197" s="23" t="str">
        <f>IFERROR(__xludf.DUMMYFUNCTION("GOOGLETRANSLATE(B197, ""en"", ""es"")"),"Personal de viento")</f>
        <v>Personal de viento</v>
      </c>
      <c r="E197" s="23" t="str">
        <f>IFERROR(__xludf.DUMMYFUNCTION("GOOGLETRANSLATE(B197, ""en"", ""ru"")"),"Ветрный персонал")</f>
        <v>Ветрный персонал</v>
      </c>
      <c r="F197" s="23" t="str">
        <f>IFERROR(__xludf.DUMMYFUNCTION("GOOGLETRANSLATE(B197, ""en"", ""tr"")"),"Rüzgar Personeli")</f>
        <v>Rüzgar Personeli</v>
      </c>
      <c r="G197" s="23" t="str">
        <f>IFERROR(__xludf.DUMMYFUNCTION("GOOGLETRANSLATE(B197, ""en"", ""pt"")"),"Funcionários eólicos")</f>
        <v>Funcionários eólicos</v>
      </c>
      <c r="H197" s="24" t="str">
        <f>IFERROR(__xludf.DUMMYFUNCTION("GOOGLETRANSLATE(B197, ""en"", ""de"")"),"Windpersonal")</f>
        <v>Windpersonal</v>
      </c>
      <c r="I197" s="23" t="str">
        <f>IFERROR(__xludf.DUMMYFUNCTION("GOOGLETRANSLATE(B197, ""en"", ""pl"")"),"Personel wiatru")</f>
        <v>Personel wiatru</v>
      </c>
      <c r="J197" s="25" t="str">
        <f>IFERROR(__xludf.DUMMYFUNCTION("GOOGLETRANSLATE(B197, ""en"", ""zh"")"),"风人员")</f>
        <v>风人员</v>
      </c>
      <c r="K197" s="25" t="str">
        <f>IFERROR(__xludf.DUMMYFUNCTION("GOOGLETRANSLATE(B197, ""en"", ""vi"")"),"Nhân viên gió")</f>
        <v>Nhân viên gió</v>
      </c>
      <c r="L197" s="42" t="str">
        <f>IFERROR(__xludf.DUMMYFUNCTION("GOOGLETRANSLATE(B197, ""en"", ""hr"")"),"Osoblje vjetra")</f>
        <v>Osoblje vjetra</v>
      </c>
      <c r="M197" s="26"/>
      <c r="N197" s="26"/>
      <c r="O197" s="26"/>
      <c r="P197" s="26"/>
      <c r="Q197" s="26"/>
      <c r="R197" s="26"/>
      <c r="S197" s="26"/>
      <c r="T197" s="26"/>
      <c r="U197" s="26"/>
      <c r="V197" s="26"/>
      <c r="W197" s="26"/>
      <c r="X197" s="26"/>
      <c r="Y197" s="26"/>
      <c r="Z197" s="26"/>
      <c r="AA197" s="26"/>
      <c r="AB197" s="26"/>
    </row>
    <row r="198">
      <c r="A198" s="21" t="s">
        <v>823</v>
      </c>
      <c r="B198" s="22" t="s">
        <v>824</v>
      </c>
      <c r="C198" s="23" t="str">
        <f>IFERROR(__xludf.DUMMYFUNCTION("GOOGLETRANSLATE(B198, ""en"", ""fr"")"),"Tire un vent qui repousse les choses.")</f>
        <v>Tire un vent qui repousse les choses.</v>
      </c>
      <c r="D198" s="23" t="str">
        <f>IFERROR(__xludf.DUMMYFUNCTION("GOOGLETRANSLATE(B198, ""en"", ""es"")"),"Dispara el viento que rechaza las cosas.")</f>
        <v>Dispara el viento que rechaza las cosas.</v>
      </c>
      <c r="E198" s="23" t="str">
        <f>IFERROR(__xludf.DUMMYFUNCTION("GOOGLETRANSLATE(B198, ""en"", ""ru"")"),"Стреляет ветер, который сбивает вещи обратно.")</f>
        <v>Стреляет ветер, который сбивает вещи обратно.</v>
      </c>
      <c r="F198" s="23" t="str">
        <f>IFERROR(__xludf.DUMMYFUNCTION("GOOGLETRANSLATE(B198, ""en"", ""tr"")"),"Bir şeyleri geri çeken rüzgarı vurur.")</f>
        <v>Bir şeyleri geri çeken rüzgarı vurur.</v>
      </c>
      <c r="G198" s="23" t="str">
        <f>IFERROR(__xludf.DUMMYFUNCTION("GOOGLETRANSLATE(B198, ""en"", ""pt"")"),"Atira o vento que derruba as coisas de volta.")</f>
        <v>Atira o vento que derruba as coisas de volta.</v>
      </c>
      <c r="H198" s="24" t="str">
        <f>IFERROR(__xludf.DUMMYFUNCTION("GOOGLETRANSLATE(B198, ""en"", ""de"")"),"Schießt Wind, der die Dinge zurückschlägt.")</f>
        <v>Schießt Wind, der die Dinge zurückschlägt.</v>
      </c>
      <c r="I198" s="23" t="str">
        <f>IFERROR(__xludf.DUMMYFUNCTION("GOOGLETRANSLATE(B198, ""en"", ""pl"")"),"Strzela do wiatru, który odrzuca wszystko.")</f>
        <v>Strzela do wiatru, który odrzuca wszystko.</v>
      </c>
      <c r="J198" s="25" t="str">
        <f>IFERROR(__xludf.DUMMYFUNCTION("GOOGLETRANSLATE(B198, ""en"", ""zh"")"),"射击，使事情倒退。")</f>
        <v>射击，使事情倒退。</v>
      </c>
      <c r="K198" s="25" t="str">
        <f>IFERROR(__xludf.DUMMYFUNCTION("GOOGLETRANSLATE(B198, ""en"", ""vi"")"),"Bắn gió khiến mọi thứ trở lại.")</f>
        <v>Bắn gió khiến mọi thứ trở lại.</v>
      </c>
      <c r="L198" s="42" t="str">
        <f>IFERROR(__xludf.DUMMYFUNCTION("GOOGLETRANSLATE(B198, ""en"", ""hr"")"),"Puca vjetar koji stvari sruši natrag.")</f>
        <v>Puca vjetar koji stvari sruši natrag.</v>
      </c>
      <c r="M198" s="26"/>
      <c r="N198" s="26"/>
      <c r="O198" s="26"/>
      <c r="P198" s="26"/>
      <c r="Q198" s="26"/>
      <c r="R198" s="26"/>
      <c r="S198" s="26"/>
      <c r="T198" s="26"/>
      <c r="U198" s="26"/>
      <c r="V198" s="26"/>
      <c r="W198" s="26"/>
      <c r="X198" s="26"/>
      <c r="Y198" s="26"/>
      <c r="Z198" s="26"/>
      <c r="AA198" s="26"/>
      <c r="AB198" s="26"/>
    </row>
    <row r="199">
      <c r="A199" s="21" t="s">
        <v>825</v>
      </c>
      <c r="B199" s="22" t="s">
        <v>826</v>
      </c>
      <c r="C199" s="23" t="str">
        <f>IFERROR(__xludf.DUMMYFUNCTION("GOOGLETRANSLATE(B199, ""en"", ""fr"")"),"Personnel du vent")</f>
        <v>Personnel du vent</v>
      </c>
      <c r="D199" s="23" t="str">
        <f>IFERROR(__xludf.DUMMYFUNCTION("GOOGLETRANSLATE(B199, ""en"", ""es"")"),"Personal de Super Wind")</f>
        <v>Personal de Super Wind</v>
      </c>
      <c r="E199" s="23" t="str">
        <f>IFERROR(__xludf.DUMMYFUNCTION("GOOGLETRANSLATE(B199, ""en"", ""ru"")"),"Super Wind Mexs")</f>
        <v>Super Wind Mexs</v>
      </c>
      <c r="F199" s="23" t="str">
        <f>IFERROR(__xludf.DUMMYFUNCTION("GOOGLETRANSLATE(B199, ""en"", ""tr"")"),"Süper Rüzgar Personeli")</f>
        <v>Süper Rüzgar Personeli</v>
      </c>
      <c r="G199" s="23" t="str">
        <f>IFERROR(__xludf.DUMMYFUNCTION("GOOGLETRANSLATE(B199, ""en"", ""pt"")"),"Super Wind Staff")</f>
        <v>Super Wind Staff</v>
      </c>
      <c r="H199" s="24" t="str">
        <f>IFERROR(__xludf.DUMMYFUNCTION("GOOGLETRANSLATE(B199, ""en"", ""de"")"),"Super Wind Staff")</f>
        <v>Super Wind Staff</v>
      </c>
      <c r="I199" s="23" t="str">
        <f>IFERROR(__xludf.DUMMYFUNCTION("GOOGLETRANSLATE(B199, ""en"", ""pl"")"),"Super wiatrowy personel")</f>
        <v>Super wiatrowy personel</v>
      </c>
      <c r="J199" s="25" t="str">
        <f>IFERROR(__xludf.DUMMYFUNCTION("GOOGLETRANSLATE(B199, ""en"", ""zh"")"),"超级风人员")</f>
        <v>超级风人员</v>
      </c>
      <c r="K199" s="25" t="str">
        <f>IFERROR(__xludf.DUMMYFUNCTION("GOOGLETRANSLATE(B199, ""en"", ""vi"")"),"Nhân viên siêu gió")</f>
        <v>Nhân viên siêu gió</v>
      </c>
      <c r="L199" s="42" t="str">
        <f>IFERROR(__xludf.DUMMYFUNCTION("GOOGLETRANSLATE(B199, ""en"", ""hr"")"),"Osoblje Super Wind")</f>
        <v>Osoblje Super Wind</v>
      </c>
      <c r="M199" s="26"/>
      <c r="N199" s="26"/>
      <c r="O199" s="26"/>
      <c r="P199" s="26"/>
      <c r="Q199" s="26"/>
      <c r="R199" s="26"/>
      <c r="S199" s="26"/>
      <c r="T199" s="26"/>
      <c r="U199" s="26"/>
      <c r="V199" s="26"/>
      <c r="W199" s="26"/>
      <c r="X199" s="26"/>
      <c r="Y199" s="26"/>
      <c r="Z199" s="26"/>
      <c r="AA199" s="26"/>
      <c r="AB199" s="26"/>
    </row>
    <row r="200">
      <c r="A200" s="21" t="s">
        <v>827</v>
      </c>
      <c r="B200" s="22" t="s">
        <v>828</v>
      </c>
      <c r="C200" s="23" t="str">
        <f>IFERROR(__xludf.DUMMYFUNCTION("GOOGLETRANSLATE(B200, ""en"", ""fr"")"),"Tire un vent qui tire plus de vent.")</f>
        <v>Tire un vent qui tire plus de vent.</v>
      </c>
      <c r="D200" s="23" t="str">
        <f>IFERROR(__xludf.DUMMYFUNCTION("GOOGLETRANSLATE(B200, ""en"", ""es"")"),"Dispara el viento que dispara más viento.")</f>
        <v>Dispara el viento que dispara más viento.</v>
      </c>
      <c r="E200" s="23" t="str">
        <f>IFERROR(__xludf.DUMMYFUNCTION("GOOGLETRANSLATE(B200, ""en"", ""ru"")"),"Стреляет ветер, который стреляет больше ветра.")</f>
        <v>Стреляет ветер, который стреляет больше ветра.</v>
      </c>
      <c r="F200" s="23" t="str">
        <f>IFERROR(__xludf.DUMMYFUNCTION("GOOGLETRANSLATE(B200, ""en"", ""tr"")"),"Daha fazla rüzgar çeken rüzgar vurur.")</f>
        <v>Daha fazla rüzgar çeken rüzgar vurur.</v>
      </c>
      <c r="G200" s="23" t="str">
        <f>IFERROR(__xludf.DUMMYFUNCTION("GOOGLETRANSLATE(B200, ""en"", ""pt"")"),"Atira o vento que dispara mais vento.")</f>
        <v>Atira o vento que dispara mais vento.</v>
      </c>
      <c r="H200" s="24" t="str">
        <f>IFERROR(__xludf.DUMMYFUNCTION("GOOGLETRANSLATE(B200, ""en"", ""de"")"),"Schießt auf den Wind, der mehr Wind schießt.")</f>
        <v>Schießt auf den Wind, der mehr Wind schießt.</v>
      </c>
      <c r="I200" s="23" t="str">
        <f>IFERROR(__xludf.DUMMYFUNCTION("GOOGLETRANSLATE(B200, ""en"", ""pl"")"),"Strzela wiatrem, który strzela więcej wiatru.")</f>
        <v>Strzela wiatrem, który strzela więcej wiatru.</v>
      </c>
      <c r="J200" s="25" t="str">
        <f>IFERROR(__xludf.DUMMYFUNCTION("GOOGLETRANSLATE(B200, ""en"", ""zh"")"),"射出更多的风。")</f>
        <v>射出更多的风。</v>
      </c>
      <c r="K200" s="25" t="str">
        <f>IFERROR(__xludf.DUMMYFUNCTION("GOOGLETRANSLATE(B200, ""en"", ""vi"")"),"Bắn gió bắn nhiều gió hơn.")</f>
        <v>Bắn gió bắn nhiều gió hơn.</v>
      </c>
      <c r="L200" s="42" t="str">
        <f>IFERROR(__xludf.DUMMYFUNCTION("GOOGLETRANSLATE(B200, ""en"", ""hr"")"),"Puca vjetar koji puca više vjetra.")</f>
        <v>Puca vjetar koji puca više vjetra.</v>
      </c>
      <c r="M200" s="26"/>
      <c r="N200" s="26"/>
      <c r="O200" s="26"/>
      <c r="P200" s="26"/>
      <c r="Q200" s="26"/>
      <c r="R200" s="26"/>
      <c r="S200" s="26"/>
      <c r="T200" s="26"/>
      <c r="U200" s="26"/>
      <c r="V200" s="26"/>
      <c r="W200" s="26"/>
      <c r="X200" s="26"/>
      <c r="Y200" s="26"/>
      <c r="Z200" s="26"/>
      <c r="AA200" s="26"/>
      <c r="AB200" s="26"/>
    </row>
    <row r="201">
      <c r="A201" s="21" t="s">
        <v>829</v>
      </c>
      <c r="B201" s="22" t="s">
        <v>830</v>
      </c>
      <c r="C201" s="23" t="str">
        <f>IFERROR(__xludf.DUMMYFUNCTION("GOOGLETRANSLATE(B201, ""en"", ""fr"")"),"Personnel de sang")</f>
        <v>Personnel de sang</v>
      </c>
      <c r="D201" s="23" t="str">
        <f>IFERROR(__xludf.DUMMYFUNCTION("GOOGLETRANSLATE(B201, ""en"", ""es"")"),"Personal de sangre")</f>
        <v>Personal de sangre</v>
      </c>
      <c r="E201" s="23" t="str">
        <f>IFERROR(__xludf.DUMMYFUNCTION("GOOGLETRANSLATE(B201, ""en"", ""ru"")"),"Кровавый персонал")</f>
        <v>Кровавый персонал</v>
      </c>
      <c r="F201" s="23" t="str">
        <f>IFERROR(__xludf.DUMMYFUNCTION("GOOGLETRANSLATE(B201, ""en"", ""tr"")"),"Kan personeli")</f>
        <v>Kan personeli</v>
      </c>
      <c r="G201" s="23" t="str">
        <f>IFERROR(__xludf.DUMMYFUNCTION("GOOGLETRANSLATE(B201, ""en"", ""pt"")"),"Blood Staff")</f>
        <v>Blood Staff</v>
      </c>
      <c r="H201" s="24" t="str">
        <f>IFERROR(__xludf.DUMMYFUNCTION("GOOGLETRANSLATE(B201, ""en"", ""de"")"),"Blutpersonal")</f>
        <v>Blutpersonal</v>
      </c>
      <c r="I201" s="23" t="str">
        <f>IFERROR(__xludf.DUMMYFUNCTION("GOOGLETRANSLATE(B201, ""en"", ""pl"")"),"Personel krwi")</f>
        <v>Personel krwi</v>
      </c>
      <c r="J201" s="25" t="str">
        <f>IFERROR(__xludf.DUMMYFUNCTION("GOOGLETRANSLATE(B201, ""en"", ""zh"")"),"血管人员")</f>
        <v>血管人员</v>
      </c>
      <c r="K201" s="25" t="str">
        <f>IFERROR(__xludf.DUMMYFUNCTION("GOOGLETRANSLATE(B201, ""en"", ""vi"")"),"Nhân viên máu")</f>
        <v>Nhân viên máu</v>
      </c>
      <c r="L201" s="42" t="str">
        <f>IFERROR(__xludf.DUMMYFUNCTION("GOOGLETRANSLATE(B201, ""en"", ""hr"")"),"Krvno osoblje")</f>
        <v>Krvno osoblje</v>
      </c>
      <c r="M201" s="26"/>
      <c r="N201" s="26"/>
      <c r="O201" s="26"/>
      <c r="P201" s="26"/>
      <c r="Q201" s="26"/>
      <c r="R201" s="26"/>
      <c r="S201" s="26"/>
      <c r="T201" s="26"/>
      <c r="U201" s="26"/>
      <c r="V201" s="26"/>
      <c r="W201" s="26"/>
      <c r="X201" s="26"/>
      <c r="Y201" s="26"/>
      <c r="Z201" s="26"/>
      <c r="AA201" s="26"/>
      <c r="AB201" s="26"/>
    </row>
    <row r="202">
      <c r="A202" s="21" t="s">
        <v>831</v>
      </c>
      <c r="B202" s="22" t="s">
        <v>832</v>
      </c>
      <c r="C202" s="23" t="str">
        <f>IFERROR(__xludf.DUMMYFUNCTION("GOOGLETRANSLATE(B202, ""en"", ""fr"")"),"Tire un projectile qui vole les points de vie. Consomme des points de vie lorsqu'il est utilisé.")</f>
        <v>Tire un projectile qui vole les points de vie. Consomme des points de vie lorsqu'il est utilisé.</v>
      </c>
      <c r="D202" s="23" t="str">
        <f>IFERROR(__xludf.DUMMYFUNCTION("GOOGLETRANSLATE(B202, ""en"", ""es"")"),"Dispara un proyectil que roba puntos de hits. Consume puntos de golpes cuando se usa.")</f>
        <v>Dispara un proyectil que roba puntos de hits. Consume puntos de golpes cuando se usa.</v>
      </c>
      <c r="E202" s="23" t="str">
        <f>IFERROR(__xludf.DUMMYFUNCTION("GOOGLETRANSLATE(B202, ""en"", ""ru"")"),"Снимает снаряд, который крадет хит -точки. Поглощает хит -точки при использовании.")</f>
        <v>Снимает снаряд, который крадет хит -точки. Поглощает хит -точки при использовании.</v>
      </c>
      <c r="F202" s="23" t="str">
        <f>IFERROR(__xludf.DUMMYFUNCTION("GOOGLETRANSLATE(B202, ""en"", ""tr"")"),"Hitpointleri çalan bir mermi çeker. Kullanıldığında hit noktaları tüketir.")</f>
        <v>Hitpointleri çalan bir mermi çeker. Kullanıldığında hit noktaları tüketir.</v>
      </c>
      <c r="G202" s="23" t="str">
        <f>IFERROR(__xludf.DUMMYFUNCTION("GOOGLETRANSLATE(B202, ""en"", ""pt"")"),"Atira um projétil que rouba pontos de hits. Consome pontos de hits quando usados.")</f>
        <v>Atira um projétil que rouba pontos de hits. Consome pontos de hits quando usados.</v>
      </c>
      <c r="H202" s="24" t="str">
        <f>IFERROR(__xludf.DUMMYFUNCTION("GOOGLETRANSLATE(B202, ""en"", ""de"")"),"Schießt ein Projektil, das Trefferpunkte stiehlt. Konsumiert bei Verwendung Hitpoints.")</f>
        <v>Schießt ein Projektil, das Trefferpunkte stiehlt. Konsumiert bei Verwendung Hitpoints.</v>
      </c>
      <c r="I202" s="23" t="str">
        <f>IFERROR(__xludf.DUMMYFUNCTION("GOOGLETRANSLATE(B202, ""en"", ""pl"")"),"Strzela pocisku, który kradnie Hitpoints. Po użyciu zużywa punkty HitPoint.")</f>
        <v>Strzela pocisku, który kradnie Hitpoints. Po użyciu zużywa punkty HitPoint.</v>
      </c>
      <c r="J202" s="25" t="str">
        <f>IFERROR(__xludf.DUMMYFUNCTION("GOOGLETRANSLATE(B202, ""en"", ""zh"")"),"射击弹丸，可窃取生命值。使用时消耗生命值。")</f>
        <v>射击弹丸，可窃取生命值。使用时消耗生命值。</v>
      </c>
      <c r="K202" s="25" t="str">
        <f>IFERROR(__xludf.DUMMYFUNCTION("GOOGLETRANSLATE(B202, ""en"", ""vi"")"),"Bắn một viên đạn đánh cắp điểm hit. Tiêu thụ hitpoint khi sử dụng.")</f>
        <v>Bắn một viên đạn đánh cắp điểm hit. Tiêu thụ hitpoint khi sử dụng.</v>
      </c>
      <c r="L202" s="42" t="str">
        <f>IFERROR(__xludf.DUMMYFUNCTION("GOOGLETRANSLATE(B202, ""en"", ""hr"")"),"Puca projektil koji krade hit -točke. Konzumira hit -točke kada se koristi.")</f>
        <v>Puca projektil koji krade hit -točke. Konzumira hit -točke kada se koristi.</v>
      </c>
      <c r="M202" s="26"/>
      <c r="N202" s="26"/>
      <c r="O202" s="26"/>
      <c r="P202" s="26"/>
      <c r="Q202" s="26"/>
      <c r="R202" s="26"/>
      <c r="S202" s="26"/>
      <c r="T202" s="26"/>
      <c r="U202" s="26"/>
      <c r="V202" s="26"/>
      <c r="W202" s="26"/>
      <c r="X202" s="26"/>
      <c r="Y202" s="26"/>
      <c r="Z202" s="26"/>
      <c r="AA202" s="26"/>
      <c r="AB202" s="26"/>
    </row>
    <row r="203">
      <c r="A203" s="21" t="s">
        <v>833</v>
      </c>
      <c r="B203" s="22" t="s">
        <v>834</v>
      </c>
      <c r="C203" s="23" t="str">
        <f>IFERROR(__xludf.DUMMYFUNCTION("GOOGLETRANSLATE(B203, ""en"", ""fr"")"),"Personnel de sang")</f>
        <v>Personnel de sang</v>
      </c>
      <c r="D203" s="23" t="str">
        <f>IFERROR(__xludf.DUMMYFUNCTION("GOOGLETRANSLATE(B203, ""en"", ""es"")"),"Personal de Super Blood")</f>
        <v>Personal de Super Blood</v>
      </c>
      <c r="E203" s="23" t="str">
        <f>IFERROR(__xludf.DUMMYFUNCTION("GOOGLETRANSLATE(B203, ""en"", ""ru"")"),"Super Blood Maff")</f>
        <v>Super Blood Maff</v>
      </c>
      <c r="F203" s="23" t="str">
        <f>IFERROR(__xludf.DUMMYFUNCTION("GOOGLETRANSLATE(B203, ""en"", ""tr"")"),"Süper kan personeli")</f>
        <v>Süper kan personeli</v>
      </c>
      <c r="G203" s="23" t="str">
        <f>IFERROR(__xludf.DUMMYFUNCTION("GOOGLETRANSLATE(B203, ""en"", ""pt"")"),"Super Blood Staff")</f>
        <v>Super Blood Staff</v>
      </c>
      <c r="H203" s="24" t="str">
        <f>IFERROR(__xludf.DUMMYFUNCTION("GOOGLETRANSLATE(B203, ""en"", ""de"")"),"Super -Blood -Personal")</f>
        <v>Super -Blood -Personal</v>
      </c>
      <c r="I203" s="23" t="str">
        <f>IFERROR(__xludf.DUMMYFUNCTION("GOOGLETRANSLATE(B203, ""en"", ""pl"")"),"Personel super krwi")</f>
        <v>Personel super krwi</v>
      </c>
      <c r="J203" s="25" t="str">
        <f>IFERROR(__xludf.DUMMYFUNCTION("GOOGLETRANSLATE(B203, ""en"", ""zh"")"),"超级血液人员")</f>
        <v>超级血液人员</v>
      </c>
      <c r="K203" s="25" t="str">
        <f>IFERROR(__xludf.DUMMYFUNCTION("GOOGLETRANSLATE(B203, ""en"", ""vi"")"),"Nhân viên siêu máu")</f>
        <v>Nhân viên siêu máu</v>
      </c>
      <c r="L203" s="42" t="str">
        <f>IFERROR(__xludf.DUMMYFUNCTION("GOOGLETRANSLATE(B203, ""en"", ""hr"")"),"Super krvo osoblje")</f>
        <v>Super krvo osoblje</v>
      </c>
      <c r="M203" s="26"/>
      <c r="N203" s="26"/>
      <c r="O203" s="26"/>
      <c r="P203" s="26"/>
      <c r="Q203" s="26"/>
      <c r="R203" s="26"/>
      <c r="S203" s="26"/>
      <c r="T203" s="26"/>
      <c r="U203" s="26"/>
      <c r="V203" s="26"/>
      <c r="W203" s="26"/>
      <c r="X203" s="26"/>
      <c r="Y203" s="26"/>
      <c r="Z203" s="26"/>
      <c r="AA203" s="26"/>
      <c r="AB203" s="26"/>
    </row>
    <row r="204">
      <c r="A204" s="21" t="s">
        <v>835</v>
      </c>
      <c r="B204" s="22" t="s">
        <v>836</v>
      </c>
      <c r="C204" s="23" t="str">
        <f>IFERROR(__xludf.DUMMYFUNCTION("GOOGLETRANSLATE(B204, ""en"", ""fr"")"),"Tire un projectile de vie qui tire plus de projectiles de vie.")</f>
        <v>Tire un projectile de vie qui tire plus de projectiles de vie.</v>
      </c>
      <c r="D204" s="23" t="str">
        <f>IFERROR(__xludf.DUMMYFUNCTION("GOOGLETRANSLATE(B204, ""en"", ""es"")"),"Dispara un proyectil de LifeSteal que dispara más proyectiles de vida.")</f>
        <v>Dispara un proyectil de LifeSteal que dispara más proyectiles de vida.</v>
      </c>
      <c r="E204" s="23" t="str">
        <f>IFERROR(__xludf.DUMMYFUNCTION("GOOGLETRANSLATE(B204, ""en"", ""ru"")"),"Снимает съемки сжимального снаряда, который стреляет в большее количество снарядов.")</f>
        <v>Снимает съемки сжимального снаряда, который стреляет в большее количество снарядов.</v>
      </c>
      <c r="F204" s="23" t="str">
        <f>IFERROR(__xludf.DUMMYFUNCTION("GOOGLETRANSLATE(B204, ""en"", ""tr"")"),"Daha fazla yaşam mermi çeken bir yaşam mermi çeker.")</f>
        <v>Daha fazla yaşam mermi çeken bir yaşam mermi çeker.</v>
      </c>
      <c r="G204" s="23" t="str">
        <f>IFERROR(__xludf.DUMMYFUNCTION("GOOGLETRANSLATE(B204, ""en"", ""pt"")"),"Atira um projétil LifeSteal que atira mais projéteis LifeSteal.")</f>
        <v>Atira um projétil LifeSteal que atira mais projéteis LifeSteal.</v>
      </c>
      <c r="H204" s="24" t="str">
        <f>IFERROR(__xludf.DUMMYFUNCTION("GOOGLETRANSLATE(B204, ""en"", ""de"")"),"Schießt ein Lifteteal -Projektil, das mehr lebenseke Projektile schießt.")</f>
        <v>Schießt ein Lifteteal -Projektil, das mehr lebenseke Projektile schießt.</v>
      </c>
      <c r="I204" s="23" t="str">
        <f>IFERROR(__xludf.DUMMYFUNCTION("GOOGLETRANSLATE(B204, ""en"", ""pl"")"),"Strzela pocisk życia, który strzela więcej pocisków na zachowanie życia.")</f>
        <v>Strzela pocisk życia, który strzela więcej pocisków na zachowanie życia.</v>
      </c>
      <c r="J204" s="25" t="str">
        <f>IFERROR(__xludf.DUMMYFUNCTION("GOOGLETRANSLATE(B204, ""en"", ""zh"")"),"射击生命的弹丸，可拍摄更多生命的弹丸。")</f>
        <v>射击生命的弹丸，可拍摄更多生命的弹丸。</v>
      </c>
      <c r="K204" s="25" t="str">
        <f>IFERROR(__xludf.DUMMYFUNCTION("GOOGLETRANSLATE(B204, ""en"", ""vi"")"),"Bắn một viên đạn Lifesteal bắn nhiều đạn hơn.")</f>
        <v>Bắn một viên đạn Lifesteal bắn nhiều đạn hơn.</v>
      </c>
      <c r="L204" s="42" t="str">
        <f>IFERROR(__xludf.DUMMYFUNCTION("GOOGLETRANSLATE(B204, ""en"", ""hr"")"),"Puca životni projektil koji puca više životnih projektila.")</f>
        <v>Puca životni projektil koji puca više životnih projektila.</v>
      </c>
      <c r="M204" s="26"/>
      <c r="N204" s="26"/>
      <c r="O204" s="26"/>
      <c r="P204" s="26"/>
      <c r="Q204" s="26"/>
      <c r="R204" s="26"/>
      <c r="S204" s="26"/>
      <c r="T204" s="26"/>
      <c r="U204" s="26"/>
      <c r="V204" s="26"/>
      <c r="W204" s="26"/>
      <c r="X204" s="26"/>
      <c r="Y204" s="26"/>
      <c r="Z204" s="26"/>
      <c r="AA204" s="26"/>
      <c r="AB204" s="26"/>
    </row>
    <row r="205">
      <c r="A205" s="21" t="s">
        <v>837</v>
      </c>
      <c r="B205" s="22" t="s">
        <v>838</v>
      </c>
      <c r="C205" s="23" t="str">
        <f>IFERROR(__xludf.DUMMYFUNCTION("GOOGLETRANSLATE(B205, ""en"", ""fr"")"),"Flèches")</f>
        <v>Flèches</v>
      </c>
      <c r="D205" s="23" t="str">
        <f>IFERROR(__xludf.DUMMYFUNCTION("GOOGLETRANSLATE(B205, ""en"", ""es"")"),"Flechas de huesos")</f>
        <v>Flechas de huesos</v>
      </c>
      <c r="E205" s="23" t="str">
        <f>IFERROR(__xludf.DUMMYFUNCTION("GOOGLETRANSLATE(B205, ""en"", ""ru"")"),"Костные стрелы")</f>
        <v>Костные стрелы</v>
      </c>
      <c r="F205" s="23" t="str">
        <f>IFERROR(__xludf.DUMMYFUNCTION("GOOGLETRANSLATE(B205, ""en"", ""tr"")"),"Kemik okları")</f>
        <v>Kemik okları</v>
      </c>
      <c r="G205" s="23" t="str">
        <f>IFERROR(__xludf.DUMMYFUNCTION("GOOGLETRANSLATE(B205, ""en"", ""pt"")"),"Fletas ósseas")</f>
        <v>Fletas ósseas</v>
      </c>
      <c r="H205" s="24" t="str">
        <f>IFERROR(__xludf.DUMMYFUNCTION("GOOGLETRANSLATE(B205, ""en"", ""de"")"),"Knochenpfeile")</f>
        <v>Knochenpfeile</v>
      </c>
      <c r="I205" s="23" t="str">
        <f>IFERROR(__xludf.DUMMYFUNCTION("GOOGLETRANSLATE(B205, ""en"", ""pl"")"),"Strzałki kości")</f>
        <v>Strzałki kości</v>
      </c>
      <c r="J205" s="25" t="str">
        <f>IFERROR(__xludf.DUMMYFUNCTION("GOOGLETRANSLATE(B205, ""en"", ""zh"")"),"骨箭")</f>
        <v>骨箭</v>
      </c>
      <c r="K205" s="25" t="str">
        <f>IFERROR(__xludf.DUMMYFUNCTION("GOOGLETRANSLATE(B205, ""en"", ""vi"")"),"Mũi tên xương")</f>
        <v>Mũi tên xương</v>
      </c>
      <c r="L205" s="42" t="str">
        <f>IFERROR(__xludf.DUMMYFUNCTION("GOOGLETRANSLATE(B205, ""en"", ""hr"")"),"Strelice kostiju")</f>
        <v>Strelice kostiju</v>
      </c>
      <c r="M205" s="26"/>
      <c r="N205" s="26"/>
      <c r="O205" s="26"/>
      <c r="P205" s="26"/>
      <c r="Q205" s="26"/>
      <c r="R205" s="26"/>
      <c r="S205" s="26"/>
      <c r="T205" s="26"/>
      <c r="U205" s="26"/>
      <c r="V205" s="26"/>
      <c r="W205" s="26"/>
      <c r="X205" s="26"/>
      <c r="Y205" s="26"/>
      <c r="Z205" s="26"/>
      <c r="AA205" s="26"/>
      <c r="AB205" s="26"/>
    </row>
    <row r="206">
      <c r="A206" s="21" t="s">
        <v>839</v>
      </c>
      <c r="B206" s="22" t="s">
        <v>649</v>
      </c>
      <c r="C206" s="23" t="str">
        <f>IFERROR(__xludf.DUMMYFUNCTION("GOOGLETRANSLATE(B206, ""en"", ""fr"")"),"Utilisé comme munitions pour un arc.")</f>
        <v>Utilisé comme munitions pour un arc.</v>
      </c>
      <c r="D206" s="23" t="str">
        <f>IFERROR(__xludf.DUMMYFUNCTION("GOOGLETRANSLATE(B206, ""en"", ""es"")"),"Utilizado como municiones para un arco.")</f>
        <v>Utilizado como municiones para un arco.</v>
      </c>
      <c r="E206" s="23" t="str">
        <f>IFERROR(__xludf.DUMMYFUNCTION("GOOGLETRANSLATE(B206, ""en"", ""ru"")"),"Используется в качестве боеприпасов для лука.")</f>
        <v>Используется в качестве боеприпасов для лука.</v>
      </c>
      <c r="F206" s="23" t="str">
        <f>IFERROR(__xludf.DUMMYFUNCTION("GOOGLETRANSLATE(B206, ""en"", ""tr"")"),"Bir yay için mühimmat olarak kullanılır.")</f>
        <v>Bir yay için mühimmat olarak kullanılır.</v>
      </c>
      <c r="G206" s="23" t="str">
        <f>IFERROR(__xludf.DUMMYFUNCTION("GOOGLETRANSLATE(B206, ""en"", ""pt"")"),"Usado como munição para um arco.")</f>
        <v>Usado como munição para um arco.</v>
      </c>
      <c r="H206" s="24" t="str">
        <f>IFERROR(__xludf.DUMMYFUNCTION("GOOGLETRANSLATE(B206, ""en"", ""de"")"),"Als Munition für einen Bogen verwendet.")</f>
        <v>Als Munition für einen Bogen verwendet.</v>
      </c>
      <c r="I206" s="23" t="str">
        <f>IFERROR(__xludf.DUMMYFUNCTION("GOOGLETRANSLATE(B206, ""en"", ""pl"")"),"Używane jako amunicja do łuku.")</f>
        <v>Używane jako amunicja do łuku.</v>
      </c>
      <c r="J206" s="25" t="str">
        <f>IFERROR(__xludf.DUMMYFUNCTION("GOOGLETRANSLATE(B206, ""en"", ""zh"")"),"用作弓的弹药。")</f>
        <v>用作弓的弹药。</v>
      </c>
      <c r="K206" s="25" t="str">
        <f>IFERROR(__xludf.DUMMYFUNCTION("GOOGLETRANSLATE(B206, ""en"", ""vi"")"),"Được sử dụng làm đạn dược cho một cây cung.")</f>
        <v>Được sử dụng làm đạn dược cho một cây cung.</v>
      </c>
      <c r="L206" s="42" t="str">
        <f>IFERROR(__xludf.DUMMYFUNCTION("GOOGLETRANSLATE(B206, ""en"", ""hr"")"),"Koristi se kao municija za luk.")</f>
        <v>Koristi se kao municija za luk.</v>
      </c>
      <c r="M206" s="26"/>
      <c r="N206" s="26"/>
      <c r="O206" s="26"/>
      <c r="P206" s="26"/>
      <c r="Q206" s="26"/>
      <c r="R206" s="26"/>
      <c r="S206" s="26"/>
      <c r="T206" s="26"/>
      <c r="U206" s="26"/>
      <c r="V206" s="26"/>
      <c r="W206" s="26"/>
      <c r="X206" s="26"/>
      <c r="Y206" s="26"/>
      <c r="Z206" s="26"/>
      <c r="AA206" s="26"/>
      <c r="AB206" s="26"/>
    </row>
    <row r="207">
      <c r="A207" s="21" t="s">
        <v>840</v>
      </c>
      <c r="B207" s="22" t="s">
        <v>841</v>
      </c>
      <c r="C207" s="23" t="str">
        <f>IFERROR(__xludf.DUMMYFUNCTION("GOOGLETRANSLATE(B207, ""en"", ""fr"")"),"Peignoir")</f>
        <v>Peignoir</v>
      </c>
      <c r="D207" s="23" t="str">
        <f>IFERROR(__xludf.DUMMYFUNCTION("GOOGLETRANSLATE(B207, ""en"", ""es"")"),"Túnica")</f>
        <v>Túnica</v>
      </c>
      <c r="E207" s="23" t="str">
        <f>IFERROR(__xludf.DUMMYFUNCTION("GOOGLETRANSLATE(B207, ""en"", ""ru"")"),"Халат")</f>
        <v>Халат</v>
      </c>
      <c r="F207" s="23" t="str">
        <f>IFERROR(__xludf.DUMMYFUNCTION("GOOGLETRANSLATE(B207, ""en"", ""tr"")"),"Elbise")</f>
        <v>Elbise</v>
      </c>
      <c r="G207" s="23" t="str">
        <f>IFERROR(__xludf.DUMMYFUNCTION("GOOGLETRANSLATE(B207, ""en"", ""pt"")"),"Manto")</f>
        <v>Manto</v>
      </c>
      <c r="H207" s="24" t="str">
        <f>IFERROR(__xludf.DUMMYFUNCTION("GOOGLETRANSLATE(B207, ""en"", ""de"")"),"Kleid")</f>
        <v>Kleid</v>
      </c>
      <c r="I207" s="23" t="str">
        <f>IFERROR(__xludf.DUMMYFUNCTION("GOOGLETRANSLATE(B207, ""en"", ""pl"")"),"Szata")</f>
        <v>Szata</v>
      </c>
      <c r="J207" s="25" t="str">
        <f>IFERROR(__xludf.DUMMYFUNCTION("GOOGLETRANSLATE(B207, ""en"", ""zh"")"),"长袍")</f>
        <v>长袍</v>
      </c>
      <c r="K207" s="25" t="str">
        <f>IFERROR(__xludf.DUMMYFUNCTION("GOOGLETRANSLATE(B207, ""en"", ""vi"")"),"Áo choàng")</f>
        <v>Áo choàng</v>
      </c>
      <c r="L207" s="42" t="str">
        <f>IFERROR(__xludf.DUMMYFUNCTION("GOOGLETRANSLATE(B207, ""en"", ""hr"")"),"Ogrtač")</f>
        <v>Ogrtač</v>
      </c>
      <c r="M207" s="26"/>
      <c r="N207" s="26"/>
      <c r="O207" s="26"/>
      <c r="P207" s="26"/>
      <c r="Q207" s="26"/>
      <c r="R207" s="26"/>
      <c r="S207" s="26"/>
      <c r="T207" s="26"/>
      <c r="U207" s="26"/>
      <c r="V207" s="26"/>
      <c r="W207" s="26"/>
      <c r="X207" s="26"/>
      <c r="Y207" s="26"/>
      <c r="Z207" s="26"/>
      <c r="AA207" s="26"/>
      <c r="AB207" s="26"/>
    </row>
    <row r="208">
      <c r="A208" s="21" t="s">
        <v>842</v>
      </c>
      <c r="B208" s="22" t="s">
        <v>843</v>
      </c>
      <c r="C208" s="23" t="str">
        <f>IFERROR(__xludf.DUMMYFUNCTION("GOOGLETRANSLATE(B208, ""en"", ""fr"")"),"Une robe ordinaire. Augmente votre statistique de potionry pendant la portée.")</f>
        <v>Une robe ordinaire. Augmente votre statistique de potionry pendant la portée.</v>
      </c>
      <c r="D208" s="23" t="str">
        <f>IFERROR(__xludf.DUMMYFUNCTION("GOOGLETRANSLATE(B208, ""en"", ""es"")"),"Una túnica simple. Aumenta la estadística de su poción mientras se usa.")</f>
        <v>Una túnica simple. Aumenta la estadística de su poción mientras se usa.</v>
      </c>
      <c r="E208" s="23" t="str">
        <f>IFERROR(__xludf.DUMMYFUNCTION("GOOGLETRANSLATE(B208, ""en"", ""ru"")"),"Простой халат. Увеличивает статистику зевок, пока носит.")</f>
        <v>Простой халат. Увеличивает статистику зевок, пока носит.</v>
      </c>
      <c r="F208" s="23" t="str">
        <f>IFERROR(__xludf.DUMMYFUNCTION("GOOGLETRANSLATE(B208, ""en"", ""tr"")"),"Düz bir elbise. Yıpranırken iksir statınızı artırır.")</f>
        <v>Düz bir elbise. Yıpranırken iksir statınızı artırır.</v>
      </c>
      <c r="G208" s="23" t="str">
        <f>IFERROR(__xludf.DUMMYFUNCTION("GOOGLETRANSLATE(B208, ""en"", ""pt"")"),"Uma túnica simples. Aumenta a sua estatística de porra enquanto usada.")</f>
        <v>Uma túnica simples. Aumenta a sua estatística de porra enquanto usada.</v>
      </c>
      <c r="H208" s="24" t="str">
        <f>IFERROR(__xludf.DUMMYFUNCTION("GOOGLETRANSLATE(B208, ""en"", ""de"")"),"Ein einfaches Gewand. Erhöht Ihre Trankgüterstatus, während Sie getragen werden.")</f>
        <v>Ein einfaches Gewand. Erhöht Ihre Trankgüterstatus, während Sie getragen werden.</v>
      </c>
      <c r="I208" s="23" t="str">
        <f>IFERROR(__xludf.DUMMYFUNCTION("GOOGLETRANSLATE(B208, ""en"", ""pl"")"),"Zwykła szata. Zwiększa statystyki mikstur podczas noszenia.")</f>
        <v>Zwykła szata. Zwiększa statystyki mikstur podczas noszenia.</v>
      </c>
      <c r="J208" s="25" t="str">
        <f>IFERROR(__xludf.DUMMYFUNCTION("GOOGLETRANSLATE(B208, ""en"", ""zh"")"),"一件朴素的长袍。磨损时会增加您的药水统计数据。")</f>
        <v>一件朴素的长袍。磨损时会增加您的药水统计数据。</v>
      </c>
      <c r="K208" s="25" t="str">
        <f>IFERROR(__xludf.DUMMYFUNCTION("GOOGLETRANSLATE(B208, ""en"", ""vi"")"),"Một chiếc áo choàng đơn giản. Tăng chỉ số Potionry của bạn trong khi bị mòn.")</f>
        <v>Một chiếc áo choàng đơn giản. Tăng chỉ số Potionry của bạn trong khi bị mòn.</v>
      </c>
      <c r="L208" s="42" t="str">
        <f>IFERROR(__xludf.DUMMYFUNCTION("GOOGLETRANSLATE(B208, ""en"", ""hr"")"),"Običan ogrtač. Povećava vaš napitak dok se nosi.")</f>
        <v>Običan ogrtač. Povećava vaš napitak dok se nosi.</v>
      </c>
      <c r="M208" s="26"/>
      <c r="N208" s="26"/>
      <c r="O208" s="26"/>
      <c r="P208" s="26"/>
      <c r="Q208" s="26"/>
      <c r="R208" s="26"/>
      <c r="S208" s="26"/>
      <c r="T208" s="26"/>
      <c r="U208" s="26"/>
      <c r="V208" s="26"/>
      <c r="W208" s="26"/>
      <c r="X208" s="26"/>
      <c r="Y208" s="26"/>
      <c r="Z208" s="26"/>
      <c r="AA208" s="26"/>
      <c r="AB208" s="26"/>
    </row>
    <row r="209">
      <c r="A209" s="21" t="s">
        <v>844</v>
      </c>
      <c r="B209" s="22" t="s">
        <v>845</v>
      </c>
      <c r="C209" s="23" t="str">
        <f>IFERROR(__xludf.DUMMYFUNCTION("GOOGLETRANSLATE(B209, ""en"", ""fr"")"),"Robe de mage")</f>
        <v>Robe de mage</v>
      </c>
      <c r="D209" s="23" t="str">
        <f>IFERROR(__xludf.DUMMYFUNCTION("GOOGLETRANSLATE(B209, ""en"", ""es"")"),"Bata de mago")</f>
        <v>Bata de mago</v>
      </c>
      <c r="E209" s="23" t="str">
        <f>IFERROR(__xludf.DUMMYFUNCTION("GOOGLETRANSLATE(B209, ""en"", ""ru"")"),"Маг халат")</f>
        <v>Маг халат</v>
      </c>
      <c r="F209" s="23" t="str">
        <f>IFERROR(__xludf.DUMMYFUNCTION("GOOGLETRANSLATE(B209, ""en"", ""tr"")"),"Büyücü")</f>
        <v>Büyücü</v>
      </c>
      <c r="G209" s="23" t="str">
        <f>IFERROR(__xludf.DUMMYFUNCTION("GOOGLETRANSLATE(B209, ""en"", ""pt"")"),"Manto mago")</f>
        <v>Manto mago</v>
      </c>
      <c r="H209" s="24" t="str">
        <f>IFERROR(__xludf.DUMMYFUNCTION("GOOGLETRANSLATE(B209, ""en"", ""de"")"),"Magiergewand")</f>
        <v>Magiergewand</v>
      </c>
      <c r="I209" s="23" t="str">
        <f>IFERROR(__xludf.DUMMYFUNCTION("GOOGLETRANSLATE(B209, ""en"", ""pl"")"),"Mage Saata")</f>
        <v>Mage Saata</v>
      </c>
      <c r="J209" s="25" t="str">
        <f>IFERROR(__xludf.DUMMYFUNCTION("GOOGLETRANSLATE(B209, ""en"", ""zh"")"),"法师长袍")</f>
        <v>法师长袍</v>
      </c>
      <c r="K209" s="25" t="str">
        <f>IFERROR(__xludf.DUMMYFUNCTION("GOOGLETRANSLATE(B209, ""en"", ""vi"")"),"Mage áo choàng")</f>
        <v>Mage áo choàng</v>
      </c>
      <c r="L209" s="42" t="str">
        <f>IFERROR(__xludf.DUMMYFUNCTION("GOOGLETRANSLATE(B209, ""en"", ""hr"")"),"Ogrtač")</f>
        <v>Ogrtač</v>
      </c>
      <c r="M209" s="26"/>
      <c r="N209" s="26"/>
      <c r="O209" s="26"/>
      <c r="P209" s="26"/>
      <c r="Q209" s="26"/>
      <c r="R209" s="26"/>
      <c r="S209" s="26"/>
      <c r="T209" s="26"/>
      <c r="U209" s="26"/>
      <c r="V209" s="26"/>
      <c r="W209" s="26"/>
      <c r="X209" s="26"/>
      <c r="Y209" s="26"/>
      <c r="Z209" s="26"/>
      <c r="AA209" s="26"/>
      <c r="AB209" s="26"/>
    </row>
    <row r="210">
      <c r="A210" s="21" t="s">
        <v>846</v>
      </c>
      <c r="B210" s="22" t="s">
        <v>847</v>
      </c>
      <c r="C210" s="23" t="str">
        <f>IFERROR(__xludf.DUMMYFUNCTION("GOOGLETRANSLATE(B210, ""en"", ""fr"")"),"Une robe de base pour faire de la magie. Augmente votre statistique magique tout en étant usée.")</f>
        <v>Une robe de base pour faire de la magie. Augmente votre statistique magique tout en étant usée.</v>
      </c>
      <c r="D210" s="23" t="str">
        <f>IFERROR(__xludf.DUMMYFUNCTION("GOOGLETRANSLATE(B210, ""en"", ""es"")"),"Una túnica básica para hacer magia. Aumenta tu estadística mágica mientras se usa.")</f>
        <v>Una túnica básica para hacer magia. Aumenta tu estadística mágica mientras se usa.</v>
      </c>
      <c r="E210" s="23" t="str">
        <f>IFERROR(__xludf.DUMMYFUNCTION("GOOGLETRANSLATE(B210, ""en"", ""ru"")"),"Основная халата для магии. Увеличивает вашу магическую статистику при ношении.")</f>
        <v>Основная халата для магии. Увеличивает вашу магическую статистику при ношении.</v>
      </c>
      <c r="F210" s="23" t="str">
        <f>IFERROR(__xludf.DUMMYFUNCTION("GOOGLETRANSLATE(B210, ""en"", ""tr"")"),"Sihir yapmak için temel bir bornoz. Yıpranmışken sihirli statınızı artırır.")</f>
        <v>Sihir yapmak için temel bir bornoz. Yıpranmışken sihirli statınızı artırır.</v>
      </c>
      <c r="G210" s="23" t="str">
        <f>IFERROR(__xludf.DUMMYFUNCTION("GOOGLETRANSLATE(B210, ""en"", ""pt"")"),"Uma túnica básica para fazer magia. Aumenta sua estatística mágica enquanto usava.")</f>
        <v>Uma túnica básica para fazer magia. Aumenta sua estatística mágica enquanto usava.</v>
      </c>
      <c r="H210" s="24" t="str">
        <f>IFERROR(__xludf.DUMMYFUNCTION("GOOGLETRANSLATE(B210, ""en"", ""de"")"),"Ein grundlegender Gewand, um Magie zu machen. Erhöht Ihre magische Statistik, während Sie getragen werden.")</f>
        <v>Ein grundlegender Gewand, um Magie zu machen. Erhöht Ihre magische Statistik, während Sie getragen werden.</v>
      </c>
      <c r="I210" s="23" t="str">
        <f>IFERROR(__xludf.DUMMYFUNCTION("GOOGLETRANSLATE(B210, ""en"", ""pl"")"),"Podstawowa szata do robienia magii. Zwiększa swoją magiczną statystykę podczas noszenia.")</f>
        <v>Podstawowa szata do robienia magii. Zwiększa swoją magiczną statystykę podczas noszenia.</v>
      </c>
      <c r="J210" s="25" t="str">
        <f>IFERROR(__xludf.DUMMYFUNCTION("GOOGLETRANSLATE(B210, ""en"", ""zh"")"),"做魔术的基本长袍。磨损时增加了魔法统计。")</f>
        <v>做魔术的基本长袍。磨损时增加了魔法统计。</v>
      </c>
      <c r="K210" s="25" t="str">
        <f>IFERROR(__xludf.DUMMYFUNCTION("GOOGLETRANSLATE(B210, ""en"", ""vi"")"),"Một chiếc áo choàng cơ bản để thực hiện phép thuật. Tăng chỉ số ma thuật của bạn trong khi mặc.")</f>
        <v>Một chiếc áo choàng cơ bản để thực hiện phép thuật. Tăng chỉ số ma thuật của bạn trong khi mặc.</v>
      </c>
      <c r="L210" s="42" t="str">
        <f>IFERROR(__xludf.DUMMYFUNCTION("GOOGLETRANSLATE(B210, ""en"", ""hr"")"),"Osnovni ogrtač za učinak magije. Povećava vaš čarobni stat dok se nosi.")</f>
        <v>Osnovni ogrtač za učinak magije. Povećava vaš čarobni stat dok se nosi.</v>
      </c>
      <c r="M210" s="26"/>
      <c r="N210" s="26"/>
      <c r="O210" s="26"/>
      <c r="P210" s="26"/>
      <c r="Q210" s="26"/>
      <c r="R210" s="26"/>
      <c r="S210" s="26"/>
      <c r="T210" s="26"/>
      <c r="U210" s="26"/>
      <c r="V210" s="26"/>
      <c r="W210" s="26"/>
      <c r="X210" s="26"/>
      <c r="Y210" s="26"/>
      <c r="Z210" s="26"/>
      <c r="AA210" s="26"/>
      <c r="AB210" s="26"/>
    </row>
    <row r="211">
      <c r="A211" s="21" t="s">
        <v>848</v>
      </c>
      <c r="B211" s="22" t="s">
        <v>849</v>
      </c>
      <c r="C211" s="23" t="str">
        <f>IFERROR(__xludf.DUMMYFUNCTION("GOOGLETRANSLATE(B211, ""en"", ""fr"")"),"Robe nécromancien")</f>
        <v>Robe nécromancien</v>
      </c>
      <c r="D211" s="23" t="str">
        <f>IFERROR(__xludf.DUMMYFUNCTION("GOOGLETRANSLATE(B211, ""en"", ""es"")"),"Túnica nigromante")</f>
        <v>Túnica nigromante</v>
      </c>
      <c r="E211" s="23" t="str">
        <f>IFERROR(__xludf.DUMMYFUNCTION("GOOGLETRANSLATE(B211, ""en"", ""ru"")"),"Некромант халат")</f>
        <v>Некромант халат</v>
      </c>
      <c r="F211" s="23" t="str">
        <f>IFERROR(__xludf.DUMMYFUNCTION("GOOGLETRANSLATE(B211, ""en"", ""tr"")"),"Necromancer bornoz")</f>
        <v>Necromancer bornoz</v>
      </c>
      <c r="G211" s="23" t="str">
        <f>IFERROR(__xludf.DUMMYFUNCTION("GOOGLETRANSLATE(B211, ""en"", ""pt"")"),"Robe Necromancer")</f>
        <v>Robe Necromancer</v>
      </c>
      <c r="H211" s="24" t="str">
        <f>IFERROR(__xludf.DUMMYFUNCTION("GOOGLETRANSLATE(B211, ""en"", ""de"")"),"Nekromantengewand")</f>
        <v>Nekromantengewand</v>
      </c>
      <c r="I211" s="23" t="str">
        <f>IFERROR(__xludf.DUMMYFUNCTION("GOOGLETRANSLATE(B211, ""en"", ""pl"")"),"Nekromanta szata")</f>
        <v>Nekromanta szata</v>
      </c>
      <c r="J211" s="25" t="str">
        <f>IFERROR(__xludf.DUMMYFUNCTION("GOOGLETRANSLATE(B211, ""en"", ""zh"")"),"死灵法师长袍")</f>
        <v>死灵法师长袍</v>
      </c>
      <c r="K211" s="25" t="str">
        <f>IFERROR(__xludf.DUMMYFUNCTION("GOOGLETRANSLATE(B211, ""en"", ""vi"")"),"Áo choàng Necromancer")</f>
        <v>Áo choàng Necromancer</v>
      </c>
      <c r="L211" s="42" t="str">
        <f>IFERROR(__xludf.DUMMYFUNCTION("GOOGLETRANSLATE(B211, ""en"", ""hr"")"),"Ogrtač")</f>
        <v>Ogrtač</v>
      </c>
      <c r="M211" s="26"/>
      <c r="N211" s="26"/>
      <c r="O211" s="26"/>
      <c r="P211" s="26"/>
      <c r="Q211" s="26"/>
      <c r="R211" s="26"/>
      <c r="S211" s="26"/>
      <c r="T211" s="26"/>
      <c r="U211" s="26"/>
      <c r="V211" s="26"/>
      <c r="W211" s="26"/>
      <c r="X211" s="26"/>
      <c r="Y211" s="26"/>
      <c r="Z211" s="26"/>
      <c r="AA211" s="26"/>
      <c r="AB211" s="26"/>
    </row>
    <row r="212">
      <c r="A212" s="21" t="s">
        <v>850</v>
      </c>
      <c r="B212" s="22" t="s">
        <v>847</v>
      </c>
      <c r="C212" s="23" t="str">
        <f>IFERROR(__xludf.DUMMYFUNCTION("GOOGLETRANSLATE(B212, ""en"", ""fr"")"),"Une robe de base pour faire de la magie. Augmente votre statistique magique tout en étant usée.")</f>
        <v>Une robe de base pour faire de la magie. Augmente votre statistique magique tout en étant usée.</v>
      </c>
      <c r="D212" s="23" t="str">
        <f>IFERROR(__xludf.DUMMYFUNCTION("GOOGLETRANSLATE(B212, ""en"", ""es"")"),"Una túnica básica para hacer magia. Aumenta tu estadística mágica mientras se usa.")</f>
        <v>Una túnica básica para hacer magia. Aumenta tu estadística mágica mientras se usa.</v>
      </c>
      <c r="E212" s="23" t="str">
        <f>IFERROR(__xludf.DUMMYFUNCTION("GOOGLETRANSLATE(B212, ""en"", ""ru"")"),"Основная халата для магии. Увеличивает вашу магическую статистику при ношении.")</f>
        <v>Основная халата для магии. Увеличивает вашу магическую статистику при ношении.</v>
      </c>
      <c r="F212" s="23" t="str">
        <f>IFERROR(__xludf.DUMMYFUNCTION("GOOGLETRANSLATE(B212, ""en"", ""tr"")"),"Sihir yapmak için temel bir bornoz. Yıpranmışken sihirli statınızı artırır.")</f>
        <v>Sihir yapmak için temel bir bornoz. Yıpranmışken sihirli statınızı artırır.</v>
      </c>
      <c r="G212" s="23" t="str">
        <f>IFERROR(__xludf.DUMMYFUNCTION("GOOGLETRANSLATE(B212, ""en"", ""pt"")"),"Uma túnica básica para fazer magia. Aumenta sua estatística mágica enquanto usava.")</f>
        <v>Uma túnica básica para fazer magia. Aumenta sua estatística mágica enquanto usava.</v>
      </c>
      <c r="H212" s="24" t="str">
        <f>IFERROR(__xludf.DUMMYFUNCTION("GOOGLETRANSLATE(B212, ""en"", ""de"")"),"Ein grundlegender Gewand, um Magie zu machen. Erhöht Ihre magische Statistik, während Sie getragen werden.")</f>
        <v>Ein grundlegender Gewand, um Magie zu machen. Erhöht Ihre magische Statistik, während Sie getragen werden.</v>
      </c>
      <c r="I212" s="23" t="str">
        <f>IFERROR(__xludf.DUMMYFUNCTION("GOOGLETRANSLATE(B212, ""en"", ""pl"")"),"Podstawowa szata do robienia magii. Zwiększa swoją magiczną statystykę podczas noszenia.")</f>
        <v>Podstawowa szata do robienia magii. Zwiększa swoją magiczną statystykę podczas noszenia.</v>
      </c>
      <c r="J212" s="25" t="str">
        <f>IFERROR(__xludf.DUMMYFUNCTION("GOOGLETRANSLATE(B212, ""en"", ""zh"")"),"做魔术的基本长袍。磨损时增加了魔法统计。")</f>
        <v>做魔术的基本长袍。磨损时增加了魔法统计。</v>
      </c>
      <c r="K212" s="25" t="str">
        <f>IFERROR(__xludf.DUMMYFUNCTION("GOOGLETRANSLATE(B212, ""en"", ""vi"")"),"Một chiếc áo choàng cơ bản để thực hiện phép thuật. Tăng chỉ số ma thuật của bạn trong khi mặc.")</f>
        <v>Một chiếc áo choàng cơ bản để thực hiện phép thuật. Tăng chỉ số ma thuật của bạn trong khi mặc.</v>
      </c>
      <c r="L212" s="42" t="str">
        <f>IFERROR(__xludf.DUMMYFUNCTION("GOOGLETRANSLATE(B212, ""en"", ""hr"")"),"Osnovni ogrtač za učinak magije. Povećava vaš čarobni stat dok se nosi.")</f>
        <v>Osnovni ogrtač za učinak magije. Povećava vaš čarobni stat dok se nosi.</v>
      </c>
      <c r="M212" s="26"/>
      <c r="N212" s="26"/>
      <c r="O212" s="26"/>
      <c r="P212" s="26"/>
      <c r="Q212" s="26"/>
      <c r="R212" s="26"/>
      <c r="S212" s="26"/>
      <c r="T212" s="26"/>
      <c r="U212" s="26"/>
      <c r="V212" s="26"/>
      <c r="W212" s="26"/>
      <c r="X212" s="26"/>
      <c r="Y212" s="26"/>
      <c r="Z212" s="26"/>
      <c r="AA212" s="26"/>
      <c r="AB212" s="26"/>
    </row>
    <row r="213">
      <c r="A213" s="21" t="s">
        <v>851</v>
      </c>
      <c r="B213" s="22" t="s">
        <v>852</v>
      </c>
      <c r="C213" s="23" t="str">
        <f>IFERROR(__xludf.DUMMYFUNCTION("GOOGLETRANSLATE(B213, ""en"", ""fr"")"),"Manteau")</f>
        <v>Manteau</v>
      </c>
      <c r="D213" s="23" t="str">
        <f>IFERROR(__xludf.DUMMYFUNCTION("GOOGLETRANSLATE(B213, ""en"", ""es"")"),"Capa")</f>
        <v>Capa</v>
      </c>
      <c r="E213" s="23" t="str">
        <f>IFERROR(__xludf.DUMMYFUNCTION("GOOGLETRANSLATE(B213, ""en"", ""ru"")"),"Плащ")</f>
        <v>Плащ</v>
      </c>
      <c r="F213" s="23" t="str">
        <f>IFERROR(__xludf.DUMMYFUNCTION("GOOGLETRANSLATE(B213, ""en"", ""tr"")"),"Pelerin")</f>
        <v>Pelerin</v>
      </c>
      <c r="G213" s="23" t="str">
        <f>IFERROR(__xludf.DUMMYFUNCTION("GOOGLETRANSLATE(B213, ""en"", ""pt"")"),"Capa")</f>
        <v>Capa</v>
      </c>
      <c r="H213" s="24" t="str">
        <f>IFERROR(__xludf.DUMMYFUNCTION("GOOGLETRANSLATE(B213, ""en"", ""de"")"),"Mantel")</f>
        <v>Mantel</v>
      </c>
      <c r="I213" s="23" t="str">
        <f>IFERROR(__xludf.DUMMYFUNCTION("GOOGLETRANSLATE(B213, ""en"", ""pl"")"),"Płaszcz")</f>
        <v>Płaszcz</v>
      </c>
      <c r="J213" s="25" t="str">
        <f>IFERROR(__xludf.DUMMYFUNCTION("GOOGLETRANSLATE(B213, ""en"", ""zh"")"),"披风")</f>
        <v>披风</v>
      </c>
      <c r="K213" s="25" t="str">
        <f>IFERROR(__xludf.DUMMYFUNCTION("GOOGLETRANSLATE(B213, ""en"", ""vi"")"),"Áo choàng")</f>
        <v>Áo choàng</v>
      </c>
      <c r="L213" s="42" t="str">
        <f>IFERROR(__xludf.DUMMYFUNCTION("GOOGLETRANSLATE(B213, ""en"", ""hr"")"),"Plašt")</f>
        <v>Plašt</v>
      </c>
      <c r="M213" s="26"/>
      <c r="N213" s="26"/>
      <c r="O213" s="26"/>
      <c r="P213" s="26"/>
      <c r="Q213" s="26"/>
      <c r="R213" s="26"/>
      <c r="S213" s="26"/>
      <c r="T213" s="26"/>
      <c r="U213" s="26"/>
      <c r="V213" s="26"/>
      <c r="W213" s="26"/>
      <c r="X213" s="26"/>
      <c r="Y213" s="26"/>
      <c r="Z213" s="26"/>
      <c r="AA213" s="26"/>
      <c r="AB213" s="26"/>
    </row>
    <row r="214">
      <c r="A214" s="21" t="s">
        <v>853</v>
      </c>
      <c r="B214" s="22" t="s">
        <v>854</v>
      </c>
      <c r="C214" s="23" t="str">
        <f>IFERROR(__xludf.DUMMYFUNCTION("GOOGLETRANSLATE(B214, ""en"", ""fr"")"),"Un manteau de base pour faire varie. Augmente votre statistique à distance tout en étant porté.")</f>
        <v>Un manteau de base pour faire varie. Augmente votre statistique à distance tout en étant porté.</v>
      </c>
      <c r="D214" s="23" t="str">
        <f>IFERROR(__xludf.DUMMYFUNCTION("GOOGLETRANSLATE(B214, ""en"", ""es"")"),"Una capa básica para hacer varió. Aumenta su estadística a distancia mientras se usa.")</f>
        <v>Una capa básica para hacer varió. Aumenta su estadística a distancia mientras se usa.</v>
      </c>
      <c r="E214" s="23" t="str">
        <f>IFERROR(__xludf.DUMMYFUNCTION("GOOGLETRANSLATE(B214, ""en"", ""ru"")"),"Основной плащ для выполнения.")</f>
        <v>Основной плащ для выполнения.</v>
      </c>
      <c r="F214" s="23" t="str">
        <f>IFERROR(__xludf.DUMMYFUNCTION("GOOGLETRANSLATE(B214, ""en"", ""tr"")"),"Yapmak için temel bir pelerin.")</f>
        <v>Yapmak için temel bir pelerin.</v>
      </c>
      <c r="G214" s="23" t="str">
        <f>IFERROR(__xludf.DUMMYFUNCTION("GOOGLETRANSLATE(B214, ""en"", ""pt"")"),"Uma capa básica para fazer a varredura. Aumenta sua estatística à distância enquanto usava.")</f>
        <v>Uma capa básica para fazer a varredura. Aumenta sua estatística à distância enquanto usava.</v>
      </c>
      <c r="H214" s="24" t="str">
        <f>IFERROR(__xludf.DUMMYFUNCTION("GOOGLETRANSLATE(B214, ""en"", ""de"")"),"Ein grundlegender Umhang für das Tagen. Er erhöht Ihre Fernkampfstatus, während Sie getragen werden.")</f>
        <v>Ein grundlegender Umhang für das Tagen. Er erhöht Ihre Fernkampfstatus, während Sie getragen werden.</v>
      </c>
      <c r="I214" s="23" t="str">
        <f>IFERROR(__xludf.DUMMYFUNCTION("GOOGLETRANSLATE(B214, ""en"", ""pl"")"),"Podstawowy płaszcz do robienia w środku. Zwiększa dystansowe statystyki podczas noszenia.")</f>
        <v>Podstawowy płaszcz do robienia w środku. Zwiększa dystansowe statystyki podczas noszenia.</v>
      </c>
      <c r="J214" s="25" t="str">
        <f>IFERROR(__xludf.DUMMYFUNCTION("GOOGLETRANSLATE(B214, ""en"", ""zh"")"),"一个基本的斗篷范围。")</f>
        <v>一个基本的斗篷范围。</v>
      </c>
      <c r="K214" s="25" t="str">
        <f>IFERROR(__xludf.DUMMYFUNCTION("GOOGLETRANSLATE(B214, ""en"", ""vi"")"),"Một chiếc áo choàng cơ bản để thực hiện.")</f>
        <v>Một chiếc áo choàng cơ bản để thực hiện.</v>
      </c>
      <c r="L214" s="42" t="str">
        <f>IFERROR(__xludf.DUMMYFUNCTION("GOOGLETRANSLATE(B214, ""en"", ""hr"")"),"Osnovni ogrtač za obavljanje u rasponu. Povećava vaš raspon stata dok se nosi.")</f>
        <v>Osnovni ogrtač za obavljanje u rasponu. Povećava vaš raspon stata dok se nosi.</v>
      </c>
      <c r="M214" s="26"/>
      <c r="N214" s="26"/>
      <c r="O214" s="26"/>
      <c r="P214" s="26"/>
      <c r="Q214" s="26"/>
      <c r="R214" s="26"/>
      <c r="S214" s="26"/>
      <c r="T214" s="26"/>
      <c r="U214" s="26"/>
      <c r="V214" s="26"/>
      <c r="W214" s="26"/>
      <c r="X214" s="26"/>
      <c r="Y214" s="26"/>
      <c r="Z214" s="26"/>
      <c r="AA214" s="26"/>
      <c r="AB214" s="26"/>
    </row>
    <row r="215">
      <c r="A215" s="21" t="s">
        <v>855</v>
      </c>
      <c r="B215" s="22" t="s">
        <v>856</v>
      </c>
      <c r="C215" s="23" t="str">
        <f>IFERROR(__xludf.DUMMYFUNCTION("GOOGLETRANSLATE(B215, ""en"", ""fr"")"),"Costume ninja")</f>
        <v>Costume ninja</v>
      </c>
      <c r="D215" s="23" t="str">
        <f>IFERROR(__xludf.DUMMYFUNCTION("GOOGLETRANSLATE(B215, ""en"", ""es"")"),"Atuendo ninja")</f>
        <v>Atuendo ninja</v>
      </c>
      <c r="E215" s="23" t="str">
        <f>IFERROR(__xludf.DUMMYFUNCTION("GOOGLETRANSLATE(B215, ""en"", ""ru"")"),"Ниндзя Гарб")</f>
        <v>Ниндзя Гарб</v>
      </c>
      <c r="F215" s="23" t="str">
        <f>IFERROR(__xludf.DUMMYFUNCTION("GOOGLETRANSLATE(B215, ""en"", ""tr"")"),"Ninja kıyafeti")</f>
        <v>Ninja kıyafeti</v>
      </c>
      <c r="G215" s="23" t="str">
        <f>IFERROR(__xludf.DUMMYFUNCTION("GOOGLETRANSLATE(B215, ""en"", ""pt"")"),"Ninja Garb")</f>
        <v>Ninja Garb</v>
      </c>
      <c r="H215" s="24" t="str">
        <f>IFERROR(__xludf.DUMMYFUNCTION("GOOGLETRANSLATE(B215, ""en"", ""de"")"),"Ninja Garb")</f>
        <v>Ninja Garb</v>
      </c>
      <c r="I215" s="23" t="str">
        <f>IFERROR(__xludf.DUMMYFUNCTION("GOOGLETRANSLATE(B215, ""en"", ""pl"")"),"Ninja Garb")</f>
        <v>Ninja Garb</v>
      </c>
      <c r="J215" s="25" t="str">
        <f>IFERROR(__xludf.DUMMYFUNCTION("GOOGLETRANSLATE(B215, ""en"", ""zh"")"),"忍者服装")</f>
        <v>忍者服装</v>
      </c>
      <c r="K215" s="25" t="str">
        <f>IFERROR(__xludf.DUMMYFUNCTION("GOOGLETRANSLATE(B215, ""en"", ""vi"")"),"Ninja Garb")</f>
        <v>Ninja Garb</v>
      </c>
      <c r="L215" s="42" t="str">
        <f>IFERROR(__xludf.DUMMYFUNCTION("GOOGLETRANSLATE(B215, ""en"", ""hr"")"),"Ninja haljina")</f>
        <v>Ninja haljina</v>
      </c>
      <c r="M215" s="26"/>
      <c r="N215" s="26"/>
      <c r="O215" s="26"/>
      <c r="P215" s="26"/>
      <c r="Q215" s="26"/>
      <c r="R215" s="26"/>
      <c r="S215" s="26"/>
      <c r="T215" s="26"/>
      <c r="U215" s="26"/>
      <c r="V215" s="26"/>
      <c r="W215" s="26"/>
      <c r="X215" s="26"/>
      <c r="Y215" s="26"/>
      <c r="Z215" s="26"/>
      <c r="AA215" s="26"/>
      <c r="AB215" s="26"/>
    </row>
    <row r="216">
      <c r="A216" s="21" t="s">
        <v>857</v>
      </c>
      <c r="B216" s="22" t="s">
        <v>858</v>
      </c>
      <c r="C216" s="23" t="str">
        <f>IFERROR(__xludf.DUMMYFUNCTION("GOOGLETRANSLATE(B216, ""en"", ""fr"")"),"Augmente votre mêlée et vos statistiques à distance et cache votre nom pendant que vous êtes porté.")</f>
        <v>Augmente votre mêlée et vos statistiques à distance et cache votre nom pendant que vous êtes porté.</v>
      </c>
      <c r="D216" s="23" t="str">
        <f>IFERROR(__xludf.DUMMYFUNCTION("GOOGLETRANSLATE(B216, ""en"", ""es"")"),"Aumenta su cuerpo a cuerpo y estadísticas a distancia y oculta su nombre mientras se usa.")</f>
        <v>Aumenta su cuerpo a cuerpo y estadísticas a distancia y oculta su nombre mientras se usa.</v>
      </c>
      <c r="E216" s="23" t="str">
        <f>IFERROR(__xludf.DUMMYFUNCTION("GOOGLETRANSLATE(B216, ""en"", ""ru"")"),"Увеличивает вашу рукопашную статистику и скрывает свое имя, пока носится.")</f>
        <v>Увеличивает вашу рукопашную статистику и скрывает свое имя, пока носится.</v>
      </c>
      <c r="F216" s="23" t="str">
        <f>IFERROR(__xludf.DUMMYFUNCTION("GOOGLETRANSLATE(B216, ""en"", ""tr"")"),"Yakın dövüşünüzü artırır ve aralıklı istatistikler ve giyilirken adınızı gizler.")</f>
        <v>Yakın dövüşünüzü artırır ve aralıklı istatistikler ve giyilirken adınızı gizler.</v>
      </c>
      <c r="G216" s="23" t="str">
        <f>IFERROR(__xludf.DUMMYFUNCTION("GOOGLETRANSLATE(B216, ""en"", ""pt"")"),"Aumenta as estatísticas corpo a corpo e a longo alcance e esconde seu nome enquanto usava.")</f>
        <v>Aumenta as estatísticas corpo a corpo e a longo alcance e esconde seu nome enquanto usava.</v>
      </c>
      <c r="H216" s="24" t="str">
        <f>IFERROR(__xludf.DUMMYFUNCTION("GOOGLETRANSLATE(B216, ""en"", ""de"")"),"Erhöht Ihren Nahkampf und befindet sich an den Fernkampfstatistiken und verbirgt Ihren Namen, während Sie getragen sind.")</f>
        <v>Erhöht Ihren Nahkampf und befindet sich an den Fernkampfstatistiken und verbirgt Ihren Namen, während Sie getragen sind.</v>
      </c>
      <c r="I216" s="23" t="str">
        <f>IFERROR(__xludf.DUMMYFUNCTION("GOOGLETRANSLATE(B216, ""en"", ""pl"")"),"Zwiększa wręcz i dystansowe statystyki oraz ukrywa twoje imię podczas noszenia.")</f>
        <v>Zwiększa wręcz i dystansowe statystyki oraz ukrywa twoje imię podczas noszenia.</v>
      </c>
      <c r="J216" s="25" t="str">
        <f>IFERROR(__xludf.DUMMYFUNCTION("GOOGLETRANSLATE(B216, ""en"", ""zh"")"),"增加近战和范围的统计数据，并在磨损时隐藏您的名字。")</f>
        <v>增加近战和范围的统计数据，并在磨损时隐藏您的名字。</v>
      </c>
      <c r="K216" s="25" t="str">
        <f>IFERROR(__xludf.DUMMYFUNCTION("GOOGLETRANSLATE(B216, ""en"", ""vi"")"),"Tăng số liệu thống kê cận chiến và tầm xa của bạn và ẩn tên của bạn trong khi bị mòn.")</f>
        <v>Tăng số liệu thống kê cận chiến và tầm xa của bạn và ẩn tên của bạn trong khi bị mòn.</v>
      </c>
      <c r="L216" s="42" t="str">
        <f>IFERROR(__xludf.DUMMYFUNCTION("GOOGLETRANSLATE(B216, ""en"", ""hr"")"),"Povećavate svoje melee i raspoređene statistike i skriva vaše ime dok se nosite.")</f>
        <v>Povećavate svoje melee i raspoređene statistike i skriva vaše ime dok se nosite.</v>
      </c>
      <c r="M216" s="26"/>
      <c r="N216" s="26"/>
      <c r="O216" s="26"/>
      <c r="P216" s="26"/>
      <c r="Q216" s="26"/>
      <c r="R216" s="26"/>
      <c r="S216" s="26"/>
      <c r="T216" s="26"/>
      <c r="U216" s="26"/>
      <c r="V216" s="26"/>
      <c r="W216" s="26"/>
      <c r="X216" s="26"/>
      <c r="Y216" s="26"/>
      <c r="Z216" s="26"/>
      <c r="AA216" s="26"/>
      <c r="AB216" s="26"/>
    </row>
    <row r="217">
      <c r="A217" s="21" t="s">
        <v>859</v>
      </c>
      <c r="B217" s="22" t="s">
        <v>860</v>
      </c>
      <c r="C217" s="23" t="str">
        <f>IFERROR(__xludf.DUMMYFUNCTION("GOOGLETRANSLATE(B217, ""en"", ""fr"")"),"Charte")</f>
        <v>Charte</v>
      </c>
      <c r="D217" s="23" t="str">
        <f>IFERROR(__xludf.DUMMYFUNCTION("GOOGLETRANSLATE(B217, ""en"", ""es"")"),"Carta")</f>
        <v>Carta</v>
      </c>
      <c r="E217" s="23" t="str">
        <f>IFERROR(__xludf.DUMMYFUNCTION("GOOGLETRANSLATE(B217, ""en"", ""ru"")"),"Чартер")</f>
        <v>Чартер</v>
      </c>
      <c r="F217" s="23" t="str">
        <f>IFERROR(__xludf.DUMMYFUNCTION("GOOGLETRANSLATE(B217, ""en"", ""tr"")"),"Tüzük")</f>
        <v>Tüzük</v>
      </c>
      <c r="G217" s="23" t="str">
        <f>IFERROR(__xludf.DUMMYFUNCTION("GOOGLETRANSLATE(B217, ""en"", ""pt"")"),"Carta")</f>
        <v>Carta</v>
      </c>
      <c r="H217" s="24" t="str">
        <f>IFERROR(__xludf.DUMMYFUNCTION("GOOGLETRANSLATE(B217, ""en"", ""de"")"),"Charta")</f>
        <v>Charta</v>
      </c>
      <c r="I217" s="23" t="str">
        <f>IFERROR(__xludf.DUMMYFUNCTION("GOOGLETRANSLATE(B217, ""en"", ""pl"")"),"Czarter")</f>
        <v>Czarter</v>
      </c>
      <c r="J217" s="25" t="str">
        <f>IFERROR(__xludf.DUMMYFUNCTION("GOOGLETRANSLATE(B217, ""en"", ""zh"")"),"宪章")</f>
        <v>宪章</v>
      </c>
      <c r="K217" s="25" t="str">
        <f>IFERROR(__xludf.DUMMYFUNCTION("GOOGLETRANSLATE(B217, ""en"", ""vi"")"),"Điều lệ")</f>
        <v>Điều lệ</v>
      </c>
      <c r="L217" s="42" t="str">
        <f>IFERROR(__xludf.DUMMYFUNCTION("GOOGLETRANSLATE(B217, ""en"", ""hr"")"),"Čarter")</f>
        <v>Čarter</v>
      </c>
      <c r="M217" s="26"/>
      <c r="N217" s="26"/>
      <c r="O217" s="26"/>
      <c r="P217" s="26"/>
      <c r="Q217" s="26"/>
      <c r="R217" s="26"/>
      <c r="S217" s="26"/>
      <c r="T217" s="26"/>
      <c r="U217" s="26"/>
      <c r="V217" s="26"/>
      <c r="W217" s="26"/>
      <c r="X217" s="26"/>
      <c r="Y217" s="26"/>
      <c r="Z217" s="26"/>
      <c r="AA217" s="26"/>
      <c r="AB217" s="26"/>
    </row>
    <row r="218">
      <c r="A218" s="21" t="s">
        <v>861</v>
      </c>
      <c r="B218" s="22" t="s">
        <v>862</v>
      </c>
      <c r="C218" s="23" t="str">
        <f>IFERROR(__xludf.DUMMYFUNCTION("GOOGLETRANSLATE(B218, ""en"", ""fr"")"),"Structure du clan. Endroit pour démarrer un clan. Utilisé pour fabriquer d'autres structures de clan. Si cela est détruit, le clan et toutes les structures sont également détruits.")</f>
        <v>Structure du clan. Endroit pour démarrer un clan. Utilisé pour fabriquer d'autres structures de clan. Si cela est détruit, le clan et toutes les structures sont également détruits.</v>
      </c>
      <c r="D218" s="23" t="str">
        <f>IFERROR(__xludf.DUMMYFUNCTION("GOOGLETRANSLATE(B218, ""en"", ""es"")"),"Estructura del clan. Lugar para comenzar un clan. Se usa para elaborar otras estructuras de clanes. Si esto se destruye, el clan y todas las estructuras también se destruyen.")</f>
        <v>Estructura del clan. Lugar para comenzar un clan. Se usa para elaborar otras estructuras de clanes. Si esto se destruye, el clan y todas las estructuras también se destruyen.</v>
      </c>
      <c r="E218" s="23" t="str">
        <f>IFERROR(__xludf.DUMMYFUNCTION("GOOGLETRANSLATE(B218, ""en"", ""ru"")"),"Клановая структура. Место, чтобы начать клан. Используется для создания других клановых структур. Если это уничтожено, клан и все структуры также уничтожаются.")</f>
        <v>Клановая структура. Место, чтобы начать клан. Используется для создания других клановых структур. Если это уничтожено, клан и все структуры также уничтожаются.</v>
      </c>
      <c r="F218" s="23" t="str">
        <f>IFERROR(__xludf.DUMMYFUNCTION("GOOGLETRANSLATE(B218, ""en"", ""tr"")"),"Klan yapısı. Bir klan başlatmak için yer. Diğer klan yapıları yapmak için kullanılır. Bu yok edilirse, klan ve tüm yapılar da yok edilir.")</f>
        <v>Klan yapısı. Bir klan başlatmak için yer. Diğer klan yapıları yapmak için kullanılır. Bu yok edilirse, klan ve tüm yapılar da yok edilir.</v>
      </c>
      <c r="G218" s="23" t="str">
        <f>IFERROR(__xludf.DUMMYFUNCTION("GOOGLETRANSLATE(B218, ""en"", ""pt"")"),"Estrutura do clã. Lugar para começar um clã. Usado para criar outras estruturas de clãs. Se isso for destruído, o clã e todas as estruturas também serão destruídas.")</f>
        <v>Estrutura do clã. Lugar para começar um clã. Usado para criar outras estruturas de clãs. Se isso for destruído, o clã e todas as estruturas também serão destruídas.</v>
      </c>
      <c r="H218" s="24" t="str">
        <f>IFERROR(__xludf.DUMMYFUNCTION("GOOGLETRANSLATE(B218, ""en"", ""de"")"),"Clanstruktur. Platz, um einen Clan zu beginnen. Wird verwendet, um andere Clanstrukturen zu erstellen. Wenn dies zerstört wird, werden auch der Clan und alle Strukturen zerstört.")</f>
        <v>Clanstruktur. Platz, um einen Clan zu beginnen. Wird verwendet, um andere Clanstrukturen zu erstellen. Wenn dies zerstört wird, werden auch der Clan und alle Strukturen zerstört.</v>
      </c>
      <c r="I218" s="23" t="str">
        <f>IFERROR(__xludf.DUMMYFUNCTION("GOOGLETRANSLATE(B218, ""en"", ""pl"")"),"Struktura klanu. Miejsce na rozpoczęcie klanu. Służy do tworzenia innych konstrukcji klanu. Jeśli zostanie to zniszczone, klan i wszystkie struktury są również zniszczone.")</f>
        <v>Struktura klanu. Miejsce na rozpoczęcie klanu. Służy do tworzenia innych konstrukcji klanu. Jeśli zostanie to zniszczone, klan i wszystkie struktury są również zniszczone.</v>
      </c>
      <c r="J218" s="25" t="str">
        <f>IFERROR(__xludf.DUMMYFUNCTION("GOOGLETRANSLATE(B218, ""en"", ""zh"")"),"氏族结构。开始一个氏族的地方。用于制作其他氏族结构。如果将其摧毁，则氏族和所有结构也将被摧毁。")</f>
        <v>氏族结构。开始一个氏族的地方。用于制作其他氏族结构。如果将其摧毁，则氏族和所有结构也将被摧毁。</v>
      </c>
      <c r="K218" s="25" t="str">
        <f>IFERROR(__xludf.DUMMYFUNCTION("GOOGLETRANSLATE(B218, ""en"", ""vi"")"),"Cấu trúc gia tộc. Nơi để bắt đầu một gia tộc. Được sử dụng để tạo ra các cấu trúc gia tộc khác. Nếu điều này bị phá hủy, gia tộc và tất cả các cấu trúc cũng bị phá hủy.")</f>
        <v>Cấu trúc gia tộc. Nơi để bắt đầu một gia tộc. Được sử dụng để tạo ra các cấu trúc gia tộc khác. Nếu điều này bị phá hủy, gia tộc và tất cả các cấu trúc cũng bị phá hủy.</v>
      </c>
      <c r="L218" s="42" t="str">
        <f>IFERROR(__xludf.DUMMYFUNCTION("GOOGLETRANSLATE(B218, ""en"", ""hr"")"),"Struktura klana. Mjesto za pokretanje klana. Koristi se za izradu drugih struktura klana. Ako je to uništeno, klan i sve strukture također su uništene.")</f>
        <v>Struktura klana. Mjesto za pokretanje klana. Koristi se za izradu drugih struktura klana. Ako je to uništeno, klan i sve strukture također su uništene.</v>
      </c>
      <c r="M218" s="26"/>
      <c r="N218" s="26"/>
      <c r="O218" s="26"/>
      <c r="P218" s="26"/>
      <c r="Q218" s="26"/>
      <c r="R218" s="26"/>
      <c r="S218" s="26"/>
      <c r="T218" s="26"/>
      <c r="U218" s="26"/>
      <c r="V218" s="26"/>
      <c r="W218" s="26"/>
      <c r="X218" s="26"/>
      <c r="Y218" s="26"/>
      <c r="Z218" s="26"/>
      <c r="AA218" s="26"/>
      <c r="AB218" s="26"/>
    </row>
    <row r="219">
      <c r="A219" s="21" t="s">
        <v>863</v>
      </c>
      <c r="B219" s="22" t="s">
        <v>864</v>
      </c>
      <c r="C219" s="23" t="str">
        <f>IFERROR(__xludf.DUMMYFUNCTION("GOOGLETRANSLATE(B219, ""en"", ""fr"")"),"Mur de bois")</f>
        <v>Mur de bois</v>
      </c>
      <c r="D219" s="23" t="str">
        <f>IFERROR(__xludf.DUMMYFUNCTION("GOOGLETRANSLATE(B219, ""en"", ""es"")"),"Muro de madera")</f>
        <v>Muro de madera</v>
      </c>
      <c r="E219" s="23" t="str">
        <f>IFERROR(__xludf.DUMMYFUNCTION("GOOGLETRANSLATE(B219, ""en"", ""ru"")"),"Деревянная стена")</f>
        <v>Деревянная стена</v>
      </c>
      <c r="F219" s="23" t="str">
        <f>IFERROR(__xludf.DUMMYFUNCTION("GOOGLETRANSLATE(B219, ""en"", ""tr"")"),"Tahta duvar")</f>
        <v>Tahta duvar</v>
      </c>
      <c r="G219" s="23" t="str">
        <f>IFERROR(__xludf.DUMMYFUNCTION("GOOGLETRANSLATE(B219, ""en"", ""pt"")"),"Parede de madeira")</f>
        <v>Parede de madeira</v>
      </c>
      <c r="H219" s="24" t="str">
        <f>IFERROR(__xludf.DUMMYFUNCTION("GOOGLETRANSLATE(B219, ""en"", ""de"")"),"Holzwand")</f>
        <v>Holzwand</v>
      </c>
      <c r="I219" s="23" t="str">
        <f>IFERROR(__xludf.DUMMYFUNCTION("GOOGLETRANSLATE(B219, ""en"", ""pl"")"),"Drewniana ściana")</f>
        <v>Drewniana ściana</v>
      </c>
      <c r="J219" s="25" t="str">
        <f>IFERROR(__xludf.DUMMYFUNCTION("GOOGLETRANSLATE(B219, ""en"", ""zh"")"),"木墙")</f>
        <v>木墙</v>
      </c>
      <c r="K219" s="25" t="str">
        <f>IFERROR(__xludf.DUMMYFUNCTION("GOOGLETRANSLATE(B219, ""en"", ""vi"")"),"Tường gỗ")</f>
        <v>Tường gỗ</v>
      </c>
      <c r="L219" s="42" t="str">
        <f>IFERROR(__xludf.DUMMYFUNCTION("GOOGLETRANSLATE(B219, ""en"", ""hr"")"),"Zid od drveta")</f>
        <v>Zid od drveta</v>
      </c>
      <c r="M219" s="26"/>
      <c r="N219" s="26"/>
      <c r="O219" s="26"/>
      <c r="P219" s="26"/>
      <c r="Q219" s="26"/>
      <c r="R219" s="26"/>
      <c r="S219" s="26"/>
      <c r="T219" s="26"/>
      <c r="U219" s="26"/>
      <c r="V219" s="26"/>
      <c r="W219" s="26"/>
      <c r="X219" s="26"/>
      <c r="Y219" s="26"/>
      <c r="Z219" s="26"/>
      <c r="AA219" s="26"/>
      <c r="AB219" s="26"/>
    </row>
    <row r="220">
      <c r="A220" s="21" t="s">
        <v>865</v>
      </c>
      <c r="B220" s="22" t="s">
        <v>866</v>
      </c>
      <c r="C220" s="23" t="str">
        <f>IFERROR(__xludf.DUMMYFUNCTION("GOOGLETRANSLATE(B220, ""en"", ""fr"")"),"Structure du clan. Une faible défense pour une base.")</f>
        <v>Structure du clan. Une faible défense pour une base.</v>
      </c>
      <c r="D220" s="23" t="str">
        <f>IFERROR(__xludf.DUMMYFUNCTION("GOOGLETRANSLATE(B220, ""en"", ""es"")"),"Estructura del clan. Una defensa débil para una base.")</f>
        <v>Estructura del clan. Una defensa débil para una base.</v>
      </c>
      <c r="E220" s="23" t="str">
        <f>IFERROR(__xludf.DUMMYFUNCTION("GOOGLETRANSLATE(B220, ""en"", ""ru"")"),"Клановая структура. Слабая защита для базы.")</f>
        <v>Клановая структура. Слабая защита для базы.</v>
      </c>
      <c r="F220" s="23" t="str">
        <f>IFERROR(__xludf.DUMMYFUNCTION("GOOGLETRANSLATE(B220, ""en"", ""tr"")"),"Klan yapısı. Bir üs için zayıf bir savunma.")</f>
        <v>Klan yapısı. Bir üs için zayıf bir savunma.</v>
      </c>
      <c r="G220" s="23" t="str">
        <f>IFERROR(__xludf.DUMMYFUNCTION("GOOGLETRANSLATE(B220, ""en"", ""pt"")"),"Estrutura do clã. Uma defesa fraca para uma base.")</f>
        <v>Estrutura do clã. Uma defesa fraca para uma base.</v>
      </c>
      <c r="H220" s="24" t="str">
        <f>IFERROR(__xludf.DUMMYFUNCTION("GOOGLETRANSLATE(B220, ""en"", ""de"")"),"Clanstruktur. Eine schwache Verteidigung für eine Basis.")</f>
        <v>Clanstruktur. Eine schwache Verteidigung für eine Basis.</v>
      </c>
      <c r="I220" s="23" t="str">
        <f>IFERROR(__xludf.DUMMYFUNCTION("GOOGLETRANSLATE(B220, ""en"", ""pl"")"),"Struktura klanu. Słaba obrona dla bazy.")</f>
        <v>Struktura klanu. Słaba obrona dla bazy.</v>
      </c>
      <c r="J220" s="25" t="str">
        <f>IFERROR(__xludf.DUMMYFUNCTION("GOOGLETRANSLATE(B220, ""en"", ""zh"")"),"氏族结构。基地的防御薄弱。")</f>
        <v>氏族结构。基地的防御薄弱。</v>
      </c>
      <c r="K220" s="25" t="str">
        <f>IFERROR(__xludf.DUMMYFUNCTION("GOOGLETRANSLATE(B220, ""en"", ""vi"")"),"Cấu trúc gia tộc. Một phòng thủ yếu cho một căn cứ.")</f>
        <v>Cấu trúc gia tộc. Một phòng thủ yếu cho một căn cứ.</v>
      </c>
      <c r="L220" s="42" t="str">
        <f>IFERROR(__xludf.DUMMYFUNCTION("GOOGLETRANSLATE(B220, ""en"", ""hr"")"),"Struktura klana. Slaba obrana za bazu.")</f>
        <v>Struktura klana. Slaba obrana za bazu.</v>
      </c>
      <c r="M220" s="26"/>
      <c r="N220" s="26"/>
      <c r="O220" s="26"/>
      <c r="P220" s="26"/>
      <c r="Q220" s="26"/>
      <c r="R220" s="26"/>
      <c r="S220" s="26"/>
      <c r="T220" s="26"/>
      <c r="U220" s="26"/>
      <c r="V220" s="26"/>
      <c r="W220" s="26"/>
      <c r="X220" s="26"/>
      <c r="Y220" s="26"/>
      <c r="Z220" s="26"/>
      <c r="AA220" s="26"/>
      <c r="AB220" s="26"/>
    </row>
    <row r="221">
      <c r="A221" s="21" t="s">
        <v>867</v>
      </c>
      <c r="B221" s="22" t="s">
        <v>868</v>
      </c>
      <c r="C221" s="23" t="str">
        <f>IFERROR(__xludf.DUMMYFUNCTION("GOOGLETRANSLATE(B221, ""en"", ""fr"")"),"Porte à bois")</f>
        <v>Porte à bois</v>
      </c>
      <c r="D221" s="23" t="str">
        <f>IFERROR(__xludf.DUMMYFUNCTION("GOOGLETRANSLATE(B221, ""en"", ""es"")"),"Puerta de madera")</f>
        <v>Puerta de madera</v>
      </c>
      <c r="E221" s="23" t="str">
        <f>IFERROR(__xludf.DUMMYFUNCTION("GOOGLETRANSLATE(B221, ""en"", ""ru"")"),"Деревянная дверь")</f>
        <v>Деревянная дверь</v>
      </c>
      <c r="F221" s="23" t="str">
        <f>IFERROR(__xludf.DUMMYFUNCTION("GOOGLETRANSLATE(B221, ""en"", ""tr"")"),"Tahta kapı")</f>
        <v>Tahta kapı</v>
      </c>
      <c r="G221" s="23" t="str">
        <f>IFERROR(__xludf.DUMMYFUNCTION("GOOGLETRANSLATE(B221, ""en"", ""pt"")"),"Porta de madeira")</f>
        <v>Porta de madeira</v>
      </c>
      <c r="H221" s="24" t="str">
        <f>IFERROR(__xludf.DUMMYFUNCTION("GOOGLETRANSLATE(B221, ""en"", ""de"")"),"Holztür")</f>
        <v>Holztür</v>
      </c>
      <c r="I221" s="23" t="str">
        <f>IFERROR(__xludf.DUMMYFUNCTION("GOOGLETRANSLATE(B221, ""en"", ""pl"")"),"Drewniane drzwi")</f>
        <v>Drewniane drzwi</v>
      </c>
      <c r="J221" s="25" t="str">
        <f>IFERROR(__xludf.DUMMYFUNCTION("GOOGLETRANSLATE(B221, ""en"", ""zh"")"),"木门")</f>
        <v>木门</v>
      </c>
      <c r="K221" s="25" t="str">
        <f>IFERROR(__xludf.DUMMYFUNCTION("GOOGLETRANSLATE(B221, ""en"", ""vi"")"),"Cửa gô")</f>
        <v>Cửa gô</v>
      </c>
      <c r="L221" s="42" t="str">
        <f>IFERROR(__xludf.DUMMYFUNCTION("GOOGLETRANSLATE(B221, ""en"", ""hr"")"),"Drvena vrata")</f>
        <v>Drvena vrata</v>
      </c>
      <c r="M221" s="26"/>
      <c r="N221" s="26"/>
      <c r="O221" s="26"/>
      <c r="P221" s="26"/>
      <c r="Q221" s="26"/>
      <c r="R221" s="26"/>
      <c r="S221" s="26"/>
      <c r="T221" s="26"/>
      <c r="U221" s="26"/>
      <c r="V221" s="26"/>
      <c r="W221" s="26"/>
      <c r="X221" s="26"/>
      <c r="Y221" s="26"/>
      <c r="Z221" s="26"/>
      <c r="AA221" s="26"/>
      <c r="AB221" s="26"/>
    </row>
    <row r="222">
      <c r="A222" s="21" t="s">
        <v>869</v>
      </c>
      <c r="B222" s="22" t="s">
        <v>870</v>
      </c>
      <c r="C222" s="23" t="str">
        <f>IFERROR(__xludf.DUMMYFUNCTION("GOOGLETRANSLATE(B222, ""en"", ""fr"")"),"Structure du clan. Ne peut être ouvert que par les membres du clan.")</f>
        <v>Structure du clan. Ne peut être ouvert que par les membres du clan.</v>
      </c>
      <c r="D222" s="23" t="str">
        <f>IFERROR(__xludf.DUMMYFUNCTION("GOOGLETRANSLATE(B222, ""en"", ""es"")"),"Estructura del clan. Solo los miembros del clan pueden abrir.")</f>
        <v>Estructura del clan. Solo los miembros del clan pueden abrir.</v>
      </c>
      <c r="E222" s="23" t="str">
        <f>IFERROR(__xludf.DUMMYFUNCTION("GOOGLETRANSLATE(B222, ""en"", ""ru"")"),"Клановая структура. Можно открыть только членами клана.")</f>
        <v>Клановая структура. Можно открыть только членами клана.</v>
      </c>
      <c r="F222" s="23" t="str">
        <f>IFERROR(__xludf.DUMMYFUNCTION("GOOGLETRANSLATE(B222, ""en"", ""tr"")"),"Klan yapısı. Sadece klan üyeleri tarafından açılabilir.")</f>
        <v>Klan yapısı. Sadece klan üyeleri tarafından açılabilir.</v>
      </c>
      <c r="G222" s="23" t="str">
        <f>IFERROR(__xludf.DUMMYFUNCTION("GOOGLETRANSLATE(B222, ""en"", ""pt"")"),"Estrutura do clã. Só pode ser aberto por membros do clã.")</f>
        <v>Estrutura do clã. Só pode ser aberto por membros do clã.</v>
      </c>
      <c r="H222" s="24" t="str">
        <f>IFERROR(__xludf.DUMMYFUNCTION("GOOGLETRANSLATE(B222, ""en"", ""de"")"),"Clanstruktur. Kann nur von Clan -Mitgliedern geöffnet werden.")</f>
        <v>Clanstruktur. Kann nur von Clan -Mitgliedern geöffnet werden.</v>
      </c>
      <c r="I222" s="23" t="str">
        <f>IFERROR(__xludf.DUMMYFUNCTION("GOOGLETRANSLATE(B222, ""en"", ""pl"")"),"Struktura klanu. Mogą być otwarte tylko przez członków klanu.")</f>
        <v>Struktura klanu. Mogą być otwarte tylko przez członków klanu.</v>
      </c>
      <c r="J222" s="25" t="str">
        <f>IFERROR(__xludf.DUMMYFUNCTION("GOOGLETRANSLATE(B222, ""en"", ""zh"")"),"氏族结构。只能由氏族成员打开。")</f>
        <v>氏族结构。只能由氏族成员打开。</v>
      </c>
      <c r="K222" s="25" t="str">
        <f>IFERROR(__xludf.DUMMYFUNCTION("GOOGLETRANSLATE(B222, ""en"", ""vi"")"),"Cấu trúc gia tộc. Chỉ có thể được mở bởi các thành viên gia tộc.")</f>
        <v>Cấu trúc gia tộc. Chỉ có thể được mở bởi các thành viên gia tộc.</v>
      </c>
      <c r="L222" s="42" t="str">
        <f>IFERROR(__xludf.DUMMYFUNCTION("GOOGLETRANSLATE(B222, ""en"", ""hr"")"),"Struktura klana. Mogu otvoriti samo članovi klana.")</f>
        <v>Struktura klana. Mogu otvoriti samo članovi klana.</v>
      </c>
      <c r="M222" s="26"/>
      <c r="N222" s="26"/>
      <c r="O222" s="26"/>
      <c r="P222" s="26"/>
      <c r="Q222" s="26"/>
      <c r="R222" s="26"/>
      <c r="S222" s="26"/>
      <c r="T222" s="26"/>
      <c r="U222" s="26"/>
      <c r="V222" s="26"/>
      <c r="W222" s="26"/>
      <c r="X222" s="26"/>
      <c r="Y222" s="26"/>
      <c r="Z222" s="26"/>
      <c r="AA222" s="26"/>
      <c r="AB222" s="26"/>
    </row>
    <row r="223">
      <c r="A223" s="45" t="s">
        <v>871</v>
      </c>
      <c r="B223" s="22" t="s">
        <v>872</v>
      </c>
      <c r="C223" s="23" t="str">
        <f>IFERROR(__xludf.DUMMYFUNCTION("GOOGLETRANSLATE(B223, ""en"", ""fr"")"),"Mur de briques")</f>
        <v>Mur de briques</v>
      </c>
      <c r="D223" s="23" t="str">
        <f>IFERROR(__xludf.DUMMYFUNCTION("GOOGLETRANSLATE(B223, ""en"", ""es"")"),"Pared de ladrillo")</f>
        <v>Pared de ladrillo</v>
      </c>
      <c r="E223" s="23" t="str">
        <f>IFERROR(__xludf.DUMMYFUNCTION("GOOGLETRANSLATE(B223, ""en"", ""ru"")"),"Кирпичная стена")</f>
        <v>Кирпичная стена</v>
      </c>
      <c r="F223" s="23" t="str">
        <f>IFERROR(__xludf.DUMMYFUNCTION("GOOGLETRANSLATE(B223, ""en"", ""tr"")"),"Tuğla duvar")</f>
        <v>Tuğla duvar</v>
      </c>
      <c r="G223" s="23" t="str">
        <f>IFERROR(__xludf.DUMMYFUNCTION("GOOGLETRANSLATE(B223, ""en"", ""pt"")"),"Parede de tijolos")</f>
        <v>Parede de tijolos</v>
      </c>
      <c r="H223" s="24" t="str">
        <f>IFERROR(__xludf.DUMMYFUNCTION("GOOGLETRANSLATE(B223, ""en"", ""de"")"),"Ziegelwand")</f>
        <v>Ziegelwand</v>
      </c>
      <c r="I223" s="23" t="str">
        <f>IFERROR(__xludf.DUMMYFUNCTION("GOOGLETRANSLATE(B223, ""en"", ""pl"")"),"Ceglana ściana")</f>
        <v>Ceglana ściana</v>
      </c>
      <c r="J223" s="25" t="str">
        <f>IFERROR(__xludf.DUMMYFUNCTION("GOOGLETRANSLATE(B223, ""en"", ""zh"")"),"砖墙")</f>
        <v>砖墙</v>
      </c>
      <c r="K223" s="25" t="str">
        <f>IFERROR(__xludf.DUMMYFUNCTION("GOOGLETRANSLATE(B223, ""en"", ""vi"")"),"Tường gạch")</f>
        <v>Tường gạch</v>
      </c>
      <c r="L223" s="42" t="str">
        <f>IFERROR(__xludf.DUMMYFUNCTION("GOOGLETRANSLATE(B223, ""en"", ""hr"")"),"Zid od cigli")</f>
        <v>Zid od cigli</v>
      </c>
      <c r="M223" s="26"/>
      <c r="N223" s="26"/>
      <c r="O223" s="26"/>
      <c r="P223" s="26"/>
      <c r="Q223" s="26"/>
      <c r="R223" s="26"/>
      <c r="S223" s="26"/>
      <c r="T223" s="26"/>
      <c r="U223" s="26"/>
      <c r="V223" s="26"/>
      <c r="W223" s="26"/>
      <c r="X223" s="26"/>
      <c r="Y223" s="26"/>
      <c r="Z223" s="26"/>
      <c r="AA223" s="26"/>
      <c r="AB223" s="26"/>
    </row>
    <row r="224">
      <c r="A224" s="45" t="s">
        <v>873</v>
      </c>
      <c r="B224" s="22" t="s">
        <v>874</v>
      </c>
      <c r="C224" s="23" t="str">
        <f>IFERROR(__xludf.DUMMYFUNCTION("GOOGLETRANSLATE(B224, ""en"", ""fr"")"),"Structure du clan. Une bonne défense pour une base.")</f>
        <v>Structure du clan. Une bonne défense pour une base.</v>
      </c>
      <c r="D224" s="23" t="str">
        <f>IFERROR(__xludf.DUMMYFUNCTION("GOOGLETRANSLATE(B224, ""en"", ""es"")"),"Estructura del clan. Una buena defensa para una base.")</f>
        <v>Estructura del clan. Una buena defensa para una base.</v>
      </c>
      <c r="E224" s="23" t="str">
        <f>IFERROR(__xludf.DUMMYFUNCTION("GOOGLETRANSLATE(B224, ""en"", ""ru"")"),"Клановая структура. Хорошая защита для базы.")</f>
        <v>Клановая структура. Хорошая защита для базы.</v>
      </c>
      <c r="F224" s="23" t="str">
        <f>IFERROR(__xludf.DUMMYFUNCTION("GOOGLETRANSLATE(B224, ""en"", ""tr"")"),"Klan yapısı. Bir üs için iyi bir savunma.")</f>
        <v>Klan yapısı. Bir üs için iyi bir savunma.</v>
      </c>
      <c r="G224" s="23" t="str">
        <f>IFERROR(__xludf.DUMMYFUNCTION("GOOGLETRANSLATE(B224, ""en"", ""pt"")"),"Estrutura do clã. Uma boa defesa para uma base.")</f>
        <v>Estrutura do clã. Uma boa defesa para uma base.</v>
      </c>
      <c r="H224" s="24" t="str">
        <f>IFERROR(__xludf.DUMMYFUNCTION("GOOGLETRANSLATE(B224, ""en"", ""de"")"),"Clanstruktur. Eine gute Verteidigung für eine Basis.")</f>
        <v>Clanstruktur. Eine gute Verteidigung für eine Basis.</v>
      </c>
      <c r="I224" s="23" t="str">
        <f>IFERROR(__xludf.DUMMYFUNCTION("GOOGLETRANSLATE(B224, ""en"", ""pl"")"),"Struktura klanu. Dobra obrona dla bazy.")</f>
        <v>Struktura klanu. Dobra obrona dla bazy.</v>
      </c>
      <c r="J224" s="25" t="str">
        <f>IFERROR(__xludf.DUMMYFUNCTION("GOOGLETRANSLATE(B224, ""en"", ""zh"")"),"氏族结构。基础的良好防御。")</f>
        <v>氏族结构。基础的良好防御。</v>
      </c>
      <c r="K224" s="25" t="str">
        <f>IFERROR(__xludf.DUMMYFUNCTION("GOOGLETRANSLATE(B224, ""en"", ""vi"")"),"Cấu trúc gia tộc. Một phòng thủ tốt cho một căn cứ.")</f>
        <v>Cấu trúc gia tộc. Một phòng thủ tốt cho một căn cứ.</v>
      </c>
      <c r="L224" s="42" t="str">
        <f>IFERROR(__xludf.DUMMYFUNCTION("GOOGLETRANSLATE(B224, ""en"", ""hr"")"),"Struktura klana. Dobra obrana za bazu.")</f>
        <v>Struktura klana. Dobra obrana za bazu.</v>
      </c>
      <c r="M224" s="26"/>
      <c r="N224" s="26"/>
      <c r="O224" s="26"/>
      <c r="P224" s="26"/>
      <c r="Q224" s="26"/>
      <c r="R224" s="26"/>
      <c r="S224" s="26"/>
      <c r="T224" s="26"/>
      <c r="U224" s="26"/>
      <c r="V224" s="26"/>
      <c r="W224" s="26"/>
      <c r="X224" s="26"/>
      <c r="Y224" s="26"/>
      <c r="Z224" s="26"/>
      <c r="AA224" s="26"/>
      <c r="AB224" s="26"/>
    </row>
    <row r="225">
      <c r="A225" s="45" t="s">
        <v>875</v>
      </c>
      <c r="B225" s="22" t="s">
        <v>876</v>
      </c>
      <c r="C225" s="23" t="str">
        <f>IFERROR(__xludf.DUMMYFUNCTION("GOOGLETRANSLATE(B225, ""en"", ""fr"")"),"Porte de brique")</f>
        <v>Porte de brique</v>
      </c>
      <c r="D225" s="23" t="str">
        <f>IFERROR(__xludf.DUMMYFUNCTION("GOOGLETRANSLATE(B225, ""en"", ""es"")"),"Puerta de ladrillo")</f>
        <v>Puerta de ladrillo</v>
      </c>
      <c r="E225" s="23" t="str">
        <f>IFERROR(__xludf.DUMMYFUNCTION("GOOGLETRANSLATE(B225, ""en"", ""ru"")"),"Кирпичная дверь")</f>
        <v>Кирпичная дверь</v>
      </c>
      <c r="F225" s="23" t="str">
        <f>IFERROR(__xludf.DUMMYFUNCTION("GOOGLETRANSLATE(B225, ""en"", ""tr"")"),"Tuğla kapısı")</f>
        <v>Tuğla kapısı</v>
      </c>
      <c r="G225" s="23" t="str">
        <f>IFERROR(__xludf.DUMMYFUNCTION("GOOGLETRANSLATE(B225, ""en"", ""pt"")"),"Porta de tijolos")</f>
        <v>Porta de tijolos</v>
      </c>
      <c r="H225" s="24" t="str">
        <f>IFERROR(__xludf.DUMMYFUNCTION("GOOGLETRANSLATE(B225, ""en"", ""de"")"),"Ziegeltür")</f>
        <v>Ziegeltür</v>
      </c>
      <c r="I225" s="23" t="str">
        <f>IFERROR(__xludf.DUMMYFUNCTION("GOOGLETRANSLATE(B225, ""en"", ""pl"")"),"Brick Door")</f>
        <v>Brick Door</v>
      </c>
      <c r="J225" s="25" t="str">
        <f>IFERROR(__xludf.DUMMYFUNCTION("GOOGLETRANSLATE(B225, ""en"", ""zh"")"),"砖门")</f>
        <v>砖门</v>
      </c>
      <c r="K225" s="25" t="str">
        <f>IFERROR(__xludf.DUMMYFUNCTION("GOOGLETRANSLATE(B225, ""en"", ""vi"")"),"Cửa gạch")</f>
        <v>Cửa gạch</v>
      </c>
      <c r="L225" s="42" t="str">
        <f>IFERROR(__xludf.DUMMYFUNCTION("GOOGLETRANSLATE(B225, ""en"", ""hr"")"),"Vrata od opeke")</f>
        <v>Vrata od opeke</v>
      </c>
      <c r="M225" s="26"/>
      <c r="N225" s="26"/>
      <c r="O225" s="26"/>
      <c r="P225" s="26"/>
      <c r="Q225" s="26"/>
      <c r="R225" s="26"/>
      <c r="S225" s="26"/>
      <c r="T225" s="26"/>
      <c r="U225" s="26"/>
      <c r="V225" s="26"/>
      <c r="W225" s="26"/>
      <c r="X225" s="26"/>
      <c r="Y225" s="26"/>
      <c r="Z225" s="26"/>
      <c r="AA225" s="26"/>
      <c r="AB225" s="26"/>
    </row>
    <row r="226">
      <c r="A226" s="45" t="s">
        <v>877</v>
      </c>
      <c r="B226" s="22" t="s">
        <v>878</v>
      </c>
      <c r="C226" s="23" t="str">
        <f>IFERROR(__xludf.DUMMYFUNCTION("GOOGLETRANSLATE(B226, ""en"", ""fr"")"),"Structure du clan. Ne peut être ouvert que par les membres du clan. Plus fort qu'une porte en bois.")</f>
        <v>Structure du clan. Ne peut être ouvert que par les membres du clan. Plus fort qu'une porte en bois.</v>
      </c>
      <c r="D226" s="23" t="str">
        <f>IFERROR(__xludf.DUMMYFUNCTION("GOOGLETRANSLATE(B226, ""en"", ""es"")"),"Estructura del clan. Solo los miembros del clan pueden abrir. Más fuerte que una puerta de madera.")</f>
        <v>Estructura del clan. Solo los miembros del clan pueden abrir. Más fuerte que una puerta de madera.</v>
      </c>
      <c r="E226" s="23" t="str">
        <f>IFERROR(__xludf.DUMMYFUNCTION("GOOGLETRANSLATE(B226, ""en"", ""ru"")"),"Клановая структура. Можно открыть только членами клана. Сильнее деревянной двери.")</f>
        <v>Клановая структура. Можно открыть только членами клана. Сильнее деревянной двери.</v>
      </c>
      <c r="F226" s="23" t="str">
        <f>IFERROR(__xludf.DUMMYFUNCTION("GOOGLETRANSLATE(B226, ""en"", ""tr"")"),"Klan yapısı. Sadece klan üyeleri tarafından açılabilir. Ahşap kapıdan daha güçlü.")</f>
        <v>Klan yapısı. Sadece klan üyeleri tarafından açılabilir. Ahşap kapıdan daha güçlü.</v>
      </c>
      <c r="G226" s="23" t="str">
        <f>IFERROR(__xludf.DUMMYFUNCTION("GOOGLETRANSLATE(B226, ""en"", ""pt"")"),"Estrutura do clã. Só pode ser aberto por membros do clã. Mais forte que uma porta de madeira.")</f>
        <v>Estrutura do clã. Só pode ser aberto por membros do clã. Mais forte que uma porta de madeira.</v>
      </c>
      <c r="H226" s="24" t="str">
        <f>IFERROR(__xludf.DUMMYFUNCTION("GOOGLETRANSLATE(B226, ""en"", ""de"")"),"Clanstruktur. Kann nur von Clan -Mitgliedern geöffnet werden. Stärker als eine Holztür.")</f>
        <v>Clanstruktur. Kann nur von Clan -Mitgliedern geöffnet werden. Stärker als eine Holztür.</v>
      </c>
      <c r="I226" s="23" t="str">
        <f>IFERROR(__xludf.DUMMYFUNCTION("GOOGLETRANSLATE(B226, ""en"", ""pl"")"),"Struktura klanu. Mogą być otwarte tylko przez członków klanu. Silniejsze niż drzwi drewna.")</f>
        <v>Struktura klanu. Mogą być otwarte tylko przez członków klanu. Silniejsze niż drzwi drewna.</v>
      </c>
      <c r="J226" s="25" t="str">
        <f>IFERROR(__xludf.DUMMYFUNCTION("GOOGLETRANSLATE(B226, ""en"", ""zh"")"),"氏族结构。只能由氏族成员打开。比木门强。")</f>
        <v>氏族结构。只能由氏族成员打开。比木门强。</v>
      </c>
      <c r="K226" s="25" t="str">
        <f>IFERROR(__xludf.DUMMYFUNCTION("GOOGLETRANSLATE(B226, ""en"", ""vi"")"),"Cấu trúc gia tộc. Chỉ có thể được mở bởi các thành viên gia tộc. Mạnh hơn một cánh cửa gỗ.")</f>
        <v>Cấu trúc gia tộc. Chỉ có thể được mở bởi các thành viên gia tộc. Mạnh hơn một cánh cửa gỗ.</v>
      </c>
      <c r="L226" s="42" t="str">
        <f>IFERROR(__xludf.DUMMYFUNCTION("GOOGLETRANSLATE(B226, ""en"", ""hr"")"),"Struktura klana. Mogu otvoriti samo članovi klana. Jači od drvenih vrata.")</f>
        <v>Struktura klana. Mogu otvoriti samo članovi klana. Jači od drvenih vrata.</v>
      </c>
      <c r="M226" s="26"/>
      <c r="N226" s="26"/>
      <c r="O226" s="26"/>
      <c r="P226" s="26"/>
      <c r="Q226" s="26"/>
      <c r="R226" s="26"/>
      <c r="S226" s="26"/>
      <c r="T226" s="26"/>
      <c r="U226" s="26"/>
      <c r="V226" s="26"/>
      <c r="W226" s="26"/>
      <c r="X226" s="26"/>
      <c r="Y226" s="26"/>
      <c r="Z226" s="26"/>
      <c r="AA226" s="26"/>
      <c r="AB226" s="26"/>
    </row>
    <row r="227">
      <c r="A227" s="45" t="s">
        <v>879</v>
      </c>
      <c r="B227" s="22" t="s">
        <v>880</v>
      </c>
      <c r="C227" s="23" t="str">
        <f>IFERROR(__xludf.DUMMYFUNCTION("GOOGLETRANSLATE(B227, ""en"", ""fr"")"),"Mur de fer")</f>
        <v>Mur de fer</v>
      </c>
      <c r="D227" s="23" t="str">
        <f>IFERROR(__xludf.DUMMYFUNCTION("GOOGLETRANSLATE(B227, ""en"", ""es"")"),"Muro de hierro")</f>
        <v>Muro de hierro</v>
      </c>
      <c r="E227" s="23" t="str">
        <f>IFERROR(__xludf.DUMMYFUNCTION("GOOGLETRANSLATE(B227, ""en"", ""ru"")"),"Железная стена")</f>
        <v>Железная стена</v>
      </c>
      <c r="F227" s="23" t="str">
        <f>IFERROR(__xludf.DUMMYFUNCTION("GOOGLETRANSLATE(B227, ""en"", ""tr"")"),"Demir duvar")</f>
        <v>Demir duvar</v>
      </c>
      <c r="G227" s="23" t="str">
        <f>IFERROR(__xludf.DUMMYFUNCTION("GOOGLETRANSLATE(B227, ""en"", ""pt"")"),"Parede de ferro")</f>
        <v>Parede de ferro</v>
      </c>
      <c r="H227" s="24" t="str">
        <f>IFERROR(__xludf.DUMMYFUNCTION("GOOGLETRANSLATE(B227, ""en"", ""de"")"),"Eisenwand")</f>
        <v>Eisenwand</v>
      </c>
      <c r="I227" s="23" t="str">
        <f>IFERROR(__xludf.DUMMYFUNCTION("GOOGLETRANSLATE(B227, ""en"", ""pl"")"),"Żelazna ściana")</f>
        <v>Żelazna ściana</v>
      </c>
      <c r="J227" s="25" t="str">
        <f>IFERROR(__xludf.DUMMYFUNCTION("GOOGLETRANSLATE(B227, ""en"", ""zh"")"),"铁墙")</f>
        <v>铁墙</v>
      </c>
      <c r="K227" s="25" t="str">
        <f>IFERROR(__xludf.DUMMYFUNCTION("GOOGLETRANSLATE(B227, ""en"", ""vi"")"),"Bức tường sắt")</f>
        <v>Bức tường sắt</v>
      </c>
      <c r="L227" s="42" t="str">
        <f>IFERROR(__xludf.DUMMYFUNCTION("GOOGLETRANSLATE(B227, ""en"", ""hr"")"),"Željezni zid")</f>
        <v>Željezni zid</v>
      </c>
      <c r="M227" s="26"/>
      <c r="N227" s="26"/>
      <c r="O227" s="26"/>
      <c r="P227" s="26"/>
      <c r="Q227" s="26"/>
      <c r="R227" s="26"/>
      <c r="S227" s="26"/>
      <c r="T227" s="26"/>
      <c r="U227" s="26"/>
      <c r="V227" s="26"/>
      <c r="W227" s="26"/>
      <c r="X227" s="26"/>
      <c r="Y227" s="26"/>
      <c r="Z227" s="26"/>
      <c r="AA227" s="26"/>
      <c r="AB227" s="26"/>
    </row>
    <row r="228">
      <c r="A228" s="45" t="s">
        <v>881</v>
      </c>
      <c r="B228" s="22" t="s">
        <v>882</v>
      </c>
      <c r="C228" s="23" t="str">
        <f>IFERROR(__xludf.DUMMYFUNCTION("GOOGLETRANSLATE(B228, ""en"", ""fr"")"),"Structure du clan. Une grande défense pour une base.")</f>
        <v>Structure du clan. Une grande défense pour une base.</v>
      </c>
      <c r="D228" s="23" t="str">
        <f>IFERROR(__xludf.DUMMYFUNCTION("GOOGLETRANSLATE(B228, ""en"", ""es"")"),"Estructura del clan. Una gran defensa para una base.")</f>
        <v>Estructura del clan. Una gran defensa para una base.</v>
      </c>
      <c r="E228" s="23" t="str">
        <f>IFERROR(__xludf.DUMMYFUNCTION("GOOGLETRANSLATE(B228, ""en"", ""ru"")"),"Клановая структура. Отличная защита для базы.")</f>
        <v>Клановая структура. Отличная защита для базы.</v>
      </c>
      <c r="F228" s="23" t="str">
        <f>IFERROR(__xludf.DUMMYFUNCTION("GOOGLETRANSLATE(B228, ""en"", ""tr"")"),"Klan yapısı. Bir üs için harika bir savunma.")</f>
        <v>Klan yapısı. Bir üs için harika bir savunma.</v>
      </c>
      <c r="G228" s="23" t="str">
        <f>IFERROR(__xludf.DUMMYFUNCTION("GOOGLETRANSLATE(B228, ""en"", ""pt"")"),"Estrutura do clã. Uma ótima defesa para uma base.")</f>
        <v>Estrutura do clã. Uma ótima defesa para uma base.</v>
      </c>
      <c r="H228" s="24" t="str">
        <f>IFERROR(__xludf.DUMMYFUNCTION("GOOGLETRANSLATE(B228, ""en"", ""de"")"),"Clanstruktur. Eine große Verteidigung für eine Basis.")</f>
        <v>Clanstruktur. Eine große Verteidigung für eine Basis.</v>
      </c>
      <c r="I228" s="23" t="str">
        <f>IFERROR(__xludf.DUMMYFUNCTION("GOOGLETRANSLATE(B228, ""en"", ""pl"")"),"Struktura klanu. Świetna obrona dla bazy.")</f>
        <v>Struktura klanu. Świetna obrona dla bazy.</v>
      </c>
      <c r="J228" s="25" t="str">
        <f>IFERROR(__xludf.DUMMYFUNCTION("GOOGLETRANSLATE(B228, ""en"", ""zh"")"),"氏族结构。基地的绝佳防御。")</f>
        <v>氏族结构。基地的绝佳防御。</v>
      </c>
      <c r="K228" s="25" t="str">
        <f>IFERROR(__xludf.DUMMYFUNCTION("GOOGLETRANSLATE(B228, ""en"", ""vi"")"),"Cấu trúc gia tộc. Một phòng thủ tuyệt vời cho một căn cứ.")</f>
        <v>Cấu trúc gia tộc. Một phòng thủ tuyệt vời cho một căn cứ.</v>
      </c>
      <c r="L228" s="42" t="str">
        <f>IFERROR(__xludf.DUMMYFUNCTION("GOOGLETRANSLATE(B228, ""en"", ""hr"")"),"Struktura klana. Sjajna obrana za bazu.")</f>
        <v>Struktura klana. Sjajna obrana za bazu.</v>
      </c>
      <c r="M228" s="26"/>
      <c r="N228" s="26"/>
      <c r="O228" s="26"/>
      <c r="P228" s="26"/>
      <c r="Q228" s="26"/>
      <c r="R228" s="26"/>
      <c r="S228" s="26"/>
      <c r="T228" s="26"/>
      <c r="U228" s="26"/>
      <c r="V228" s="26"/>
      <c r="W228" s="26"/>
      <c r="X228" s="26"/>
      <c r="Y228" s="26"/>
      <c r="Z228" s="26"/>
      <c r="AA228" s="26"/>
      <c r="AB228" s="26"/>
    </row>
    <row r="229">
      <c r="A229" s="45" t="s">
        <v>883</v>
      </c>
      <c r="B229" s="22" t="s">
        <v>884</v>
      </c>
      <c r="C229" s="23" t="str">
        <f>IFERROR(__xludf.DUMMYFUNCTION("GOOGLETRANSLATE(B229, ""en"", ""fr"")"),"Porte en fer")</f>
        <v>Porte en fer</v>
      </c>
      <c r="D229" s="23" t="str">
        <f>IFERROR(__xludf.DUMMYFUNCTION("GOOGLETRANSLATE(B229, ""en"", ""es"")"),"Puerta de Hierro")</f>
        <v>Puerta de Hierro</v>
      </c>
      <c r="E229" s="23" t="str">
        <f>IFERROR(__xludf.DUMMYFUNCTION("GOOGLETRANSLATE(B229, ""en"", ""ru"")"),"Железная дверь")</f>
        <v>Железная дверь</v>
      </c>
      <c r="F229" s="23" t="str">
        <f>IFERROR(__xludf.DUMMYFUNCTION("GOOGLETRANSLATE(B229, ""en"", ""tr"")"),"Demir kapı")</f>
        <v>Demir kapı</v>
      </c>
      <c r="G229" s="23" t="str">
        <f>IFERROR(__xludf.DUMMYFUNCTION("GOOGLETRANSLATE(B229, ""en"", ""pt"")"),"Porta de ferro")</f>
        <v>Porta de ferro</v>
      </c>
      <c r="H229" s="24" t="str">
        <f>IFERROR(__xludf.DUMMYFUNCTION("GOOGLETRANSLATE(B229, ""en"", ""de"")"),"Eiserne Tür")</f>
        <v>Eiserne Tür</v>
      </c>
      <c r="I229" s="23" t="str">
        <f>IFERROR(__xludf.DUMMYFUNCTION("GOOGLETRANSLATE(B229, ""en"", ""pl"")"),"Żelazne drzwi")</f>
        <v>Żelazne drzwi</v>
      </c>
      <c r="J229" s="25" t="str">
        <f>IFERROR(__xludf.DUMMYFUNCTION("GOOGLETRANSLATE(B229, ""en"", ""zh"")"),"铁门")</f>
        <v>铁门</v>
      </c>
      <c r="K229" s="25" t="str">
        <f>IFERROR(__xludf.DUMMYFUNCTION("GOOGLETRANSLATE(B229, ""en"", ""vi"")"),"Cửa sắt")</f>
        <v>Cửa sắt</v>
      </c>
      <c r="L229" s="42" t="str">
        <f>IFERROR(__xludf.DUMMYFUNCTION("GOOGLETRANSLATE(B229, ""en"", ""hr"")"),"Željezna vrata")</f>
        <v>Željezna vrata</v>
      </c>
      <c r="M229" s="26"/>
      <c r="N229" s="26"/>
      <c r="O229" s="26"/>
      <c r="P229" s="26"/>
      <c r="Q229" s="26"/>
      <c r="R229" s="26"/>
      <c r="S229" s="26"/>
      <c r="T229" s="26"/>
      <c r="U229" s="26"/>
      <c r="V229" s="26"/>
      <c r="W229" s="26"/>
      <c r="X229" s="26"/>
      <c r="Y229" s="26"/>
      <c r="Z229" s="26"/>
      <c r="AA229" s="26"/>
      <c r="AB229" s="26"/>
    </row>
    <row r="230">
      <c r="A230" s="45" t="s">
        <v>885</v>
      </c>
      <c r="B230" s="22" t="s">
        <v>886</v>
      </c>
      <c r="C230" s="23" t="str">
        <f>IFERROR(__xludf.DUMMYFUNCTION("GOOGLETRANSLATE(B230, ""en"", ""fr"")"),"Structure du clan. Ne peut être ouvert que par les membres du clan. Plus fort qu'une porte en brique.")</f>
        <v>Structure du clan. Ne peut être ouvert que par les membres du clan. Plus fort qu'une porte en brique.</v>
      </c>
      <c r="D230" s="23" t="str">
        <f>IFERROR(__xludf.DUMMYFUNCTION("GOOGLETRANSLATE(B230, ""en"", ""es"")"),"Estructura del clan. Solo los miembros del clan pueden abrir. Más fuerte que una puerta de ladrillo.")</f>
        <v>Estructura del clan. Solo los miembros del clan pueden abrir. Más fuerte que una puerta de ladrillo.</v>
      </c>
      <c r="E230" s="23" t="str">
        <f>IFERROR(__xludf.DUMMYFUNCTION("GOOGLETRANSLATE(B230, ""en"", ""ru"")"),"Клановая структура. Можно открыть только членами клана. Сильнее кирпичной двери.")</f>
        <v>Клановая структура. Можно открыть только членами клана. Сильнее кирпичной двери.</v>
      </c>
      <c r="F230" s="23" t="str">
        <f>IFERROR(__xludf.DUMMYFUNCTION("GOOGLETRANSLATE(B230, ""en"", ""tr"")"),"Klan yapısı. Sadece klan üyeleri tarafından açılabilir. Tuğla kapıdan daha güçlü.")</f>
        <v>Klan yapısı. Sadece klan üyeleri tarafından açılabilir. Tuğla kapıdan daha güçlü.</v>
      </c>
      <c r="G230" s="23" t="str">
        <f>IFERROR(__xludf.DUMMYFUNCTION("GOOGLETRANSLATE(B230, ""en"", ""pt"")"),"Estrutura do clã. Só pode ser aberto por membros do clã. Mais forte que uma porta de tijolos.")</f>
        <v>Estrutura do clã. Só pode ser aberto por membros do clã. Mais forte que uma porta de tijolos.</v>
      </c>
      <c r="H230" s="24" t="str">
        <f>IFERROR(__xludf.DUMMYFUNCTION("GOOGLETRANSLATE(B230, ""en"", ""de"")"),"Clanstruktur. Kann nur von Clan -Mitgliedern geöffnet werden. Stärker als eine Ziegeltür.")</f>
        <v>Clanstruktur. Kann nur von Clan -Mitgliedern geöffnet werden. Stärker als eine Ziegeltür.</v>
      </c>
      <c r="I230" s="23" t="str">
        <f>IFERROR(__xludf.DUMMYFUNCTION("GOOGLETRANSLATE(B230, ""en"", ""pl"")"),"Struktura klanu. Mogą być otwarte tylko przez członków klanu. Silniejsze niż ceglane drzwi.")</f>
        <v>Struktura klanu. Mogą być otwarte tylko przez członków klanu. Silniejsze niż ceglane drzwi.</v>
      </c>
      <c r="J230" s="25" t="str">
        <f>IFERROR(__xludf.DUMMYFUNCTION("GOOGLETRANSLATE(B230, ""en"", ""zh"")"),"氏族结构。只能由氏族成员打开。比砖门更强。")</f>
        <v>氏族结构。只能由氏族成员打开。比砖门更强。</v>
      </c>
      <c r="K230" s="25" t="str">
        <f>IFERROR(__xludf.DUMMYFUNCTION("GOOGLETRANSLATE(B230, ""en"", ""vi"")"),"Cấu trúc gia tộc. Chỉ có thể được mở bởi các thành viên gia tộc. Mạnh hơn một cánh cửa gạch.")</f>
        <v>Cấu trúc gia tộc. Chỉ có thể được mở bởi các thành viên gia tộc. Mạnh hơn một cánh cửa gạch.</v>
      </c>
      <c r="L230" s="42" t="str">
        <f>IFERROR(__xludf.DUMMYFUNCTION("GOOGLETRANSLATE(B230, ""en"", ""hr"")"),"Struktura klana. Mogu otvoriti samo članovi klana. Jači od vrata od opeke.")</f>
        <v>Struktura klana. Mogu otvoriti samo članovi klana. Jači od vrata od opeke.</v>
      </c>
      <c r="M230" s="26"/>
      <c r="N230" s="26"/>
      <c r="O230" s="26"/>
      <c r="P230" s="26"/>
      <c r="Q230" s="26"/>
      <c r="R230" s="26"/>
      <c r="S230" s="26"/>
      <c r="T230" s="26"/>
      <c r="U230" s="26"/>
      <c r="V230" s="26"/>
      <c r="W230" s="26"/>
      <c r="X230" s="26"/>
      <c r="Y230" s="26"/>
      <c r="Z230" s="26"/>
      <c r="AA230" s="26"/>
      <c r="AB230" s="26"/>
    </row>
    <row r="231">
      <c r="A231" s="21" t="s">
        <v>887</v>
      </c>
      <c r="B231" s="22" t="s">
        <v>888</v>
      </c>
      <c r="C231" s="23" t="str">
        <f>IFERROR(__xludf.DUMMYFUNCTION("GOOGLETRANSLATE(B231, ""en"", ""fr"")"),"Coffre de banque")</f>
        <v>Coffre de banque</v>
      </c>
      <c r="D231" s="23" t="str">
        <f>IFERROR(__xludf.DUMMYFUNCTION("GOOGLETRANSLATE(B231, ""en"", ""es"")"),"Cofre")</f>
        <v>Cofre</v>
      </c>
      <c r="E231" s="23" t="str">
        <f>IFERROR(__xludf.DUMMYFUNCTION("GOOGLETRANSLATE(B231, ""en"", ""ru"")"),"Банковский сундук")</f>
        <v>Банковский сундук</v>
      </c>
      <c r="F231" s="23" t="str">
        <f>IFERROR(__xludf.DUMMYFUNCTION("GOOGLETRANSLATE(B231, ""en"", ""tr"")"),"Banka sandığı")</f>
        <v>Banka sandığı</v>
      </c>
      <c r="G231" s="23" t="str">
        <f>IFERROR(__xludf.DUMMYFUNCTION("GOOGLETRANSLATE(B231, ""en"", ""pt"")"),"Banda bancário")</f>
        <v>Banda bancário</v>
      </c>
      <c r="H231" s="24" t="str">
        <f>IFERROR(__xludf.DUMMYFUNCTION("GOOGLETRANSLATE(B231, ""en"", ""de"")"),"Bankkiste")</f>
        <v>Bankkiste</v>
      </c>
      <c r="I231" s="23" t="str">
        <f>IFERROR(__xludf.DUMMYFUNCTION("GOOGLETRANSLATE(B231, ""en"", ""pl"")"),"Klatka piersiowa")</f>
        <v>Klatka piersiowa</v>
      </c>
      <c r="J231" s="25" t="str">
        <f>IFERROR(__xludf.DUMMYFUNCTION("GOOGLETRANSLATE(B231, ""en"", ""zh"")"),"银行箱")</f>
        <v>银行箱</v>
      </c>
      <c r="K231" s="25" t="str">
        <f>IFERROR(__xludf.DUMMYFUNCTION("GOOGLETRANSLATE(B231, ""en"", ""vi"")"),"Ngân hàng rương")</f>
        <v>Ngân hàng rương</v>
      </c>
      <c r="L231" s="42" t="str">
        <f>IFERROR(__xludf.DUMMYFUNCTION("GOOGLETRANSLATE(B231, ""en"", ""hr"")"),"Bankarska škrinja")</f>
        <v>Bankarska škrinja</v>
      </c>
      <c r="M231" s="26"/>
      <c r="N231" s="26"/>
      <c r="O231" s="26"/>
      <c r="P231" s="26"/>
      <c r="Q231" s="26"/>
      <c r="R231" s="26"/>
      <c r="S231" s="26"/>
      <c r="T231" s="26"/>
      <c r="U231" s="26"/>
      <c r="V231" s="26"/>
      <c r="W231" s="26"/>
      <c r="X231" s="26"/>
      <c r="Y231" s="26"/>
      <c r="Z231" s="26"/>
      <c r="AA231" s="26"/>
      <c r="AB231" s="26"/>
    </row>
    <row r="232">
      <c r="A232" s="21" t="s">
        <v>889</v>
      </c>
      <c r="B232" s="22" t="s">
        <v>890</v>
      </c>
      <c r="C232" s="23" t="str">
        <f>IFERROR(__xludf.DUMMYFUNCTION("GOOGLETRANSLATE(B232, ""en"", ""fr"")"),"Structure du clan. Donne accès à votre stockage bancaire personnel.")</f>
        <v>Structure du clan. Donne accès à votre stockage bancaire personnel.</v>
      </c>
      <c r="D232" s="23" t="str">
        <f>IFERROR(__xludf.DUMMYFUNCTION("GOOGLETRANSLATE(B232, ""en"", ""es"")"),"Estructura del clan. Da acceso a su almacenamiento personal de banco.")</f>
        <v>Estructura del clan. Da acceso a su almacenamiento personal de banco.</v>
      </c>
      <c r="E232" s="23" t="str">
        <f>IFERROR(__xludf.DUMMYFUNCTION("GOOGLETRANSLATE(B232, ""en"", ""ru"")"),"Клановая структура. Дает доступ к вашему личному банко -хранилищу.")</f>
        <v>Клановая структура. Дает доступ к вашему личному банко -хранилищу.</v>
      </c>
      <c r="F232" s="23" t="str">
        <f>IFERROR(__xludf.DUMMYFUNCTION("GOOGLETRANSLATE(B232, ""en"", ""tr"")"),"Klan yapısı. Kişisel banka depolama alanınıza erişim sağlar.")</f>
        <v>Klan yapısı. Kişisel banka depolama alanınıza erişim sağlar.</v>
      </c>
      <c r="G232" s="23" t="str">
        <f>IFERROR(__xludf.DUMMYFUNCTION("GOOGLETRANSLATE(B232, ""en"", ""pt"")"),"Estrutura do clã. Dá acesso ao seu armazenamento bancário pessoal.")</f>
        <v>Estrutura do clã. Dá acesso ao seu armazenamento bancário pessoal.</v>
      </c>
      <c r="H232" s="24" t="str">
        <f>IFERROR(__xludf.DUMMYFUNCTION("GOOGLETRANSLATE(B232, ""en"", ""de"")"),"Clanstruktur. Gibt Zugriff auf Ihren persönlichen Bankspeicher.")</f>
        <v>Clanstruktur. Gibt Zugriff auf Ihren persönlichen Bankspeicher.</v>
      </c>
      <c r="I232" s="23" t="str">
        <f>IFERROR(__xludf.DUMMYFUNCTION("GOOGLETRANSLATE(B232, ""en"", ""pl"")"),"Struktura klanu. Daje dostęp do osobistej pamięci bankowej.")</f>
        <v>Struktura klanu. Daje dostęp do osobistej pamięci bankowej.</v>
      </c>
      <c r="J232" s="25" t="str">
        <f>IFERROR(__xludf.DUMMYFUNCTION("GOOGLETRANSLATE(B232, ""en"", ""zh"")"),"氏族结构。可访问您的个人银行存储。")</f>
        <v>氏族结构。可访问您的个人银行存储。</v>
      </c>
      <c r="K232" s="25" t="str">
        <f>IFERROR(__xludf.DUMMYFUNCTION("GOOGLETRANSLATE(B232, ""en"", ""vi"")"),"Cấu trúc gia tộc. Cung cấp quyền truy cập vào lưu trữ ngân hàng cá nhân của bạn.")</f>
        <v>Cấu trúc gia tộc. Cung cấp quyền truy cập vào lưu trữ ngân hàng cá nhân của bạn.</v>
      </c>
      <c r="L232" s="42" t="str">
        <f>IFERROR(__xludf.DUMMYFUNCTION("GOOGLETRANSLATE(B232, ""en"", ""hr"")"),"Struktura klana. Omogućuje pristup vašoj osobnoj banci.")</f>
        <v>Struktura klana. Omogućuje pristup vašoj osobnoj banci.</v>
      </c>
      <c r="M232" s="26"/>
      <c r="N232" s="26"/>
      <c r="O232" s="26"/>
      <c r="P232" s="26"/>
      <c r="Q232" s="26"/>
      <c r="R232" s="26"/>
      <c r="S232" s="26"/>
      <c r="T232" s="26"/>
      <c r="U232" s="26"/>
      <c r="V232" s="26"/>
      <c r="W232" s="26"/>
      <c r="X232" s="26"/>
      <c r="Y232" s="26"/>
      <c r="Z232" s="26"/>
      <c r="AA232" s="26"/>
      <c r="AB232" s="26"/>
    </row>
    <row r="233">
      <c r="A233" s="21" t="s">
        <v>891</v>
      </c>
      <c r="B233" s="22" t="s">
        <v>441</v>
      </c>
      <c r="C233" s="23" t="str">
        <f>IFERROR(__xludf.DUMMYFUNCTION("GOOGLETRANSLATE(B233, ""en"", ""fr"")"),"Table de travail")</f>
        <v>Table de travail</v>
      </c>
      <c r="D233" s="23" t="str">
        <f>IFERROR(__xludf.DUMMYFUNCTION("GOOGLETRANSLATE(B233, ""en"", ""es"")"),"Banco de trabajo")</f>
        <v>Banco de trabajo</v>
      </c>
      <c r="E233" s="23" t="str">
        <f>IFERROR(__xludf.DUMMYFUNCTION("GOOGLETRANSLATE(B233, ""en"", ""ru"")"),"Workbench")</f>
        <v>Workbench</v>
      </c>
      <c r="F233" s="23" t="str">
        <f>IFERROR(__xludf.DUMMYFUNCTION("GOOGLETRANSLATE(B233, ""en"", ""tr"")"),"Çalışma tezgahı")</f>
        <v>Çalışma tezgahı</v>
      </c>
      <c r="G233" s="23" t="str">
        <f>IFERROR(__xludf.DUMMYFUNCTION("GOOGLETRANSLATE(B233, ""en"", ""pt"")"),"Workbench")</f>
        <v>Workbench</v>
      </c>
      <c r="H233" s="24" t="str">
        <f>IFERROR(__xludf.DUMMYFUNCTION("GOOGLETRANSLATE(B233, ""en"", ""de"")"),"Werkbank")</f>
        <v>Werkbank</v>
      </c>
      <c r="I233" s="23" t="str">
        <f>IFERROR(__xludf.DUMMYFUNCTION("GOOGLETRANSLATE(B233, ""en"", ""pl"")"),"stoł warsztatowy")</f>
        <v>stoł warsztatowy</v>
      </c>
      <c r="J233" s="25" t="str">
        <f>IFERROR(__xludf.DUMMYFUNCTION("GOOGLETRANSLATE(B233, ""en"", ""zh"")"),"工作台")</f>
        <v>工作台</v>
      </c>
      <c r="K233" s="25" t="str">
        <f>IFERROR(__xludf.DUMMYFUNCTION("GOOGLETRANSLATE(B233, ""en"", ""vi"")"),"Bàn làm việc")</f>
        <v>Bàn làm việc</v>
      </c>
      <c r="L233" s="42" t="str">
        <f>IFERROR(__xludf.DUMMYFUNCTION("GOOGLETRANSLATE(B233, ""en"", ""hr"")"),"Radna ploča")</f>
        <v>Radna ploča</v>
      </c>
      <c r="M233" s="26"/>
      <c r="N233" s="26"/>
      <c r="O233" s="26"/>
      <c r="P233" s="26"/>
      <c r="Q233" s="26"/>
      <c r="R233" s="26"/>
      <c r="S233" s="26"/>
      <c r="T233" s="26"/>
      <c r="U233" s="26"/>
      <c r="V233" s="26"/>
      <c r="W233" s="26"/>
      <c r="X233" s="26"/>
      <c r="Y233" s="26"/>
      <c r="Z233" s="26"/>
      <c r="AA233" s="26"/>
      <c r="AB233" s="26"/>
    </row>
    <row r="234">
      <c r="A234" s="21" t="s">
        <v>892</v>
      </c>
      <c r="B234" s="22" t="s">
        <v>893</v>
      </c>
      <c r="C234" s="23" t="str">
        <f>IFERROR(__xludf.DUMMYFUNCTION("GOOGLETRANSLATE(B234, ""en"", ""fr"")"),"Structure du clan. Utilisé pour élaborer divers articles.")</f>
        <v>Structure du clan. Utilisé pour élaborer divers articles.</v>
      </c>
      <c r="D234" s="23" t="str">
        <f>IFERROR(__xludf.DUMMYFUNCTION("GOOGLETRANSLATE(B234, ""en"", ""es"")"),"Estructura del clan. Se usa para elaborar varios artículos.")</f>
        <v>Estructura del clan. Se usa para elaborar varios artículos.</v>
      </c>
      <c r="E234" s="23" t="str">
        <f>IFERROR(__xludf.DUMMYFUNCTION("GOOGLETRANSLATE(B234, ""en"", ""ru"")"),"Клановая структура. Используется для создания различных предметов.")</f>
        <v>Клановая структура. Используется для создания различных предметов.</v>
      </c>
      <c r="F234" s="23" t="str">
        <f>IFERROR(__xludf.DUMMYFUNCTION("GOOGLETRANSLATE(B234, ""en"", ""tr"")"),"Klan yapısı. Çeşitli eşyalar yapmak için kullanılır.")</f>
        <v>Klan yapısı. Çeşitli eşyalar yapmak için kullanılır.</v>
      </c>
      <c r="G234" s="23" t="str">
        <f>IFERROR(__xludf.DUMMYFUNCTION("GOOGLETRANSLATE(B234, ""en"", ""pt"")"),"Estrutura do clã. Usado para criar vários itens.")</f>
        <v>Estrutura do clã. Usado para criar vários itens.</v>
      </c>
      <c r="H234" s="24" t="str">
        <f>IFERROR(__xludf.DUMMYFUNCTION("GOOGLETRANSLATE(B234, ""en"", ""de"")"),"Clanstruktur. Verwendet, um verschiedene Gegenstände zu erstellen.")</f>
        <v>Clanstruktur. Verwendet, um verschiedene Gegenstände zu erstellen.</v>
      </c>
      <c r="I234" s="23" t="str">
        <f>IFERROR(__xludf.DUMMYFUNCTION("GOOGLETRANSLATE(B234, ""en"", ""pl"")"),"Struktura klanu. Służy do tworzenia różnych przedmiotów.")</f>
        <v>Struktura klanu. Służy do tworzenia różnych przedmiotów.</v>
      </c>
      <c r="J234" s="25" t="str">
        <f>IFERROR(__xludf.DUMMYFUNCTION("GOOGLETRANSLATE(B234, ""en"", ""zh"")"),"氏族结构。用于制作各种物品。")</f>
        <v>氏族结构。用于制作各种物品。</v>
      </c>
      <c r="K234" s="25" t="str">
        <f>IFERROR(__xludf.DUMMYFUNCTION("GOOGLETRANSLATE(B234, ""en"", ""vi"")"),"Cấu trúc gia tộc. Được sử dụng để chế tạo các mặt hàng khác nhau.")</f>
        <v>Cấu trúc gia tộc. Được sử dụng để chế tạo các mặt hàng khác nhau.</v>
      </c>
      <c r="L234" s="42" t="str">
        <f>IFERROR(__xludf.DUMMYFUNCTION("GOOGLETRANSLATE(B234, ""en"", ""hr"")"),"Struktura klana. Koristi se za izradu raznih predmeta.")</f>
        <v>Struktura klana. Koristi se za izradu raznih predmeta.</v>
      </c>
      <c r="M234" s="26"/>
      <c r="N234" s="26"/>
      <c r="O234" s="26"/>
      <c r="P234" s="26"/>
      <c r="Q234" s="26"/>
      <c r="R234" s="26"/>
      <c r="S234" s="26"/>
      <c r="T234" s="26"/>
      <c r="U234" s="26"/>
      <c r="V234" s="26"/>
      <c r="W234" s="26"/>
      <c r="X234" s="26"/>
      <c r="Y234" s="26"/>
      <c r="Z234" s="26"/>
      <c r="AA234" s="26"/>
      <c r="AB234" s="26"/>
    </row>
    <row r="235">
      <c r="A235" s="21" t="s">
        <v>894</v>
      </c>
      <c r="B235" s="22" t="s">
        <v>439</v>
      </c>
      <c r="C235" s="23" t="str">
        <f>IFERROR(__xludf.DUMMYFUNCTION("GOOGLETRANSLATE(B235, ""en"", ""fr"")"),"fourneau")</f>
        <v>fourneau</v>
      </c>
      <c r="D235" s="23" t="str">
        <f>IFERROR(__xludf.DUMMYFUNCTION("GOOGLETRANSLATE(B235, ""en"", ""es"")"),"Horno")</f>
        <v>Horno</v>
      </c>
      <c r="E235" s="23" t="str">
        <f>IFERROR(__xludf.DUMMYFUNCTION("GOOGLETRANSLATE(B235, ""en"", ""ru"")"),"Печь")</f>
        <v>Печь</v>
      </c>
      <c r="F235" s="23" t="str">
        <f>IFERROR(__xludf.DUMMYFUNCTION("GOOGLETRANSLATE(B235, ""en"", ""tr"")"),"Fırın")</f>
        <v>Fırın</v>
      </c>
      <c r="G235" s="23" t="str">
        <f>IFERROR(__xludf.DUMMYFUNCTION("GOOGLETRANSLATE(B235, ""en"", ""pt"")"),"Forno")</f>
        <v>Forno</v>
      </c>
      <c r="H235" s="24" t="str">
        <f>IFERROR(__xludf.DUMMYFUNCTION("GOOGLETRANSLATE(B235, ""en"", ""de"")"),"Ofen")</f>
        <v>Ofen</v>
      </c>
      <c r="I235" s="23" t="str">
        <f>IFERROR(__xludf.DUMMYFUNCTION("GOOGLETRANSLATE(B235, ""en"", ""pl"")"),"Piec")</f>
        <v>Piec</v>
      </c>
      <c r="J235" s="25" t="str">
        <f>IFERROR(__xludf.DUMMYFUNCTION("GOOGLETRANSLATE(B235, ""en"", ""zh"")"),"炉")</f>
        <v>炉</v>
      </c>
      <c r="K235" s="25" t="str">
        <f>IFERROR(__xludf.DUMMYFUNCTION("GOOGLETRANSLATE(B235, ""en"", ""vi"")"),"Lò lửa")</f>
        <v>Lò lửa</v>
      </c>
      <c r="L235" s="42" t="str">
        <f>IFERROR(__xludf.DUMMYFUNCTION("GOOGLETRANSLATE(B235, ""en"", ""hr"")"),"Peć")</f>
        <v>Peć</v>
      </c>
      <c r="M235" s="26"/>
      <c r="N235" s="26"/>
      <c r="O235" s="26"/>
      <c r="P235" s="26"/>
      <c r="Q235" s="26"/>
      <c r="R235" s="26"/>
      <c r="S235" s="26"/>
      <c r="T235" s="26"/>
      <c r="U235" s="26"/>
      <c r="V235" s="26"/>
      <c r="W235" s="26"/>
      <c r="X235" s="26"/>
      <c r="Y235" s="26"/>
      <c r="Z235" s="26"/>
      <c r="AA235" s="26"/>
      <c r="AB235" s="26"/>
    </row>
    <row r="236">
      <c r="A236" s="21" t="s">
        <v>895</v>
      </c>
      <c r="B236" s="22" t="s">
        <v>896</v>
      </c>
      <c r="C236" s="23" t="str">
        <f>IFERROR(__xludf.DUMMYFUNCTION("GOOGLETRANSLATE(B236, ""en"", ""fr"")"),"Structure du clan. Utilisé pour transformer les minerais en barres métalliques.")</f>
        <v>Structure du clan. Utilisé pour transformer les minerais en barres métalliques.</v>
      </c>
      <c r="D236" s="23" t="str">
        <f>IFERROR(__xludf.DUMMYFUNCTION("GOOGLETRANSLATE(B236, ""en"", ""es"")"),"Estructura del clan. Se usa para convertir minerales en barras de metal.")</f>
        <v>Estructura del clan. Se usa para convertir minerales en barras de metal.</v>
      </c>
      <c r="E236" s="23" t="str">
        <f>IFERROR(__xludf.DUMMYFUNCTION("GOOGLETRANSLATE(B236, ""en"", ""ru"")"),"Клановая структура. Используется для превращения руд в металлические стержни.")</f>
        <v>Клановая структура. Используется для превращения руд в металлические стержни.</v>
      </c>
      <c r="F236" s="23" t="str">
        <f>IFERROR(__xludf.DUMMYFUNCTION("GOOGLETRANSLATE(B236, ""en"", ""tr"")"),"Klan yapısı. Cevherleri metal çubuklara dönüştürmek için kullanılır.")</f>
        <v>Klan yapısı. Cevherleri metal çubuklara dönüştürmek için kullanılır.</v>
      </c>
      <c r="G236" s="23" t="str">
        <f>IFERROR(__xludf.DUMMYFUNCTION("GOOGLETRANSLATE(B236, ""en"", ""pt"")"),"Estrutura do clã. Usado para transformar minérios em barras de metal.")</f>
        <v>Estrutura do clã. Usado para transformar minérios em barras de metal.</v>
      </c>
      <c r="H236" s="24" t="str">
        <f>IFERROR(__xludf.DUMMYFUNCTION("GOOGLETRANSLATE(B236, ""en"", ""de"")"),"Clanstruktur. Wird verwendet, um Erze in Metallstangen zu verwandeln.")</f>
        <v>Clanstruktur. Wird verwendet, um Erze in Metallstangen zu verwandeln.</v>
      </c>
      <c r="I236" s="23" t="str">
        <f>IFERROR(__xludf.DUMMYFUNCTION("GOOGLETRANSLATE(B236, ""en"", ""pl"")"),"Struktura klanu. Służy do przekształcania rud w metalowe pręty.")</f>
        <v>Struktura klanu. Służy do przekształcania rud w metalowe pręty.</v>
      </c>
      <c r="J236" s="25" t="str">
        <f>IFERROR(__xludf.DUMMYFUNCTION("GOOGLETRANSLATE(B236, ""en"", ""zh"")"),"氏族结构。用于将矿石变成金属条。")</f>
        <v>氏族结构。用于将矿石变成金属条。</v>
      </c>
      <c r="K236" s="25" t="str">
        <f>IFERROR(__xludf.DUMMYFUNCTION("GOOGLETRANSLATE(B236, ""en"", ""vi"")"),"Cấu trúc gia tộc. Được sử dụng để biến quặng thành thanh kim loại.")</f>
        <v>Cấu trúc gia tộc. Được sử dụng để biến quặng thành thanh kim loại.</v>
      </c>
      <c r="L236" s="42" t="str">
        <f>IFERROR(__xludf.DUMMYFUNCTION("GOOGLETRANSLATE(B236, ""en"", ""hr"")"),"Struktura klana. Koristi se za pretvaranje ruda u metalne šipke.")</f>
        <v>Struktura klana. Koristi se za pretvaranje ruda u metalne šipke.</v>
      </c>
      <c r="M236" s="26"/>
      <c r="N236" s="26"/>
      <c r="O236" s="26"/>
      <c r="P236" s="26"/>
      <c r="Q236" s="26"/>
      <c r="R236" s="26"/>
      <c r="S236" s="26"/>
      <c r="T236" s="26"/>
      <c r="U236" s="26"/>
      <c r="V236" s="26"/>
      <c r="W236" s="26"/>
      <c r="X236" s="26"/>
      <c r="Y236" s="26"/>
      <c r="Z236" s="26"/>
      <c r="AA236" s="26"/>
      <c r="AB236" s="26"/>
    </row>
    <row r="237">
      <c r="A237" s="21" t="s">
        <v>897</v>
      </c>
      <c r="B237" s="22" t="s">
        <v>438</v>
      </c>
      <c r="C237" s="23" t="str">
        <f>IFERROR(__xludf.DUMMYFUNCTION("GOOGLETRANSLATE(B237, ""en"", ""fr"")"),"Enclume")</f>
        <v>Enclume</v>
      </c>
      <c r="D237" s="23" t="str">
        <f>IFERROR(__xludf.DUMMYFUNCTION("GOOGLETRANSLATE(B237, ""en"", ""es"")"),"Yunque")</f>
        <v>Yunque</v>
      </c>
      <c r="E237" s="23" t="str">
        <f>IFERROR(__xludf.DUMMYFUNCTION("GOOGLETRANSLATE(B237, ""en"", ""ru"")"),"Наковальня")</f>
        <v>Наковальня</v>
      </c>
      <c r="F237" s="23" t="str">
        <f>IFERROR(__xludf.DUMMYFUNCTION("GOOGLETRANSLATE(B237, ""en"", ""tr"")"),"Örs")</f>
        <v>Örs</v>
      </c>
      <c r="G237" s="23" t="str">
        <f>IFERROR(__xludf.DUMMYFUNCTION("GOOGLETRANSLATE(B237, ""en"", ""pt"")"),"Bigorna")</f>
        <v>Bigorna</v>
      </c>
      <c r="H237" s="24" t="str">
        <f>IFERROR(__xludf.DUMMYFUNCTION("GOOGLETRANSLATE(B237, ""en"", ""de"")"),"Amboss")</f>
        <v>Amboss</v>
      </c>
      <c r="I237" s="23" t="str">
        <f>IFERROR(__xludf.DUMMYFUNCTION("GOOGLETRANSLATE(B237, ""en"", ""pl"")"),"Kowadło")</f>
        <v>Kowadło</v>
      </c>
      <c r="J237" s="25" t="str">
        <f>IFERROR(__xludf.DUMMYFUNCTION("GOOGLETRANSLATE(B237, ""en"", ""zh"")"),"砧")</f>
        <v>砧</v>
      </c>
      <c r="K237" s="25" t="str">
        <f>IFERROR(__xludf.DUMMYFUNCTION("GOOGLETRANSLATE(B237, ""en"", ""vi"")"),"Đe")</f>
        <v>Đe</v>
      </c>
      <c r="L237" s="42" t="str">
        <f>IFERROR(__xludf.DUMMYFUNCTION("GOOGLETRANSLATE(B237, ""en"", ""hr"")"),"Nakovanj")</f>
        <v>Nakovanj</v>
      </c>
      <c r="M237" s="26"/>
      <c r="N237" s="26"/>
      <c r="O237" s="26"/>
      <c r="P237" s="26"/>
      <c r="Q237" s="26"/>
      <c r="R237" s="26"/>
      <c r="S237" s="26"/>
      <c r="T237" s="26"/>
      <c r="U237" s="26"/>
      <c r="V237" s="26"/>
      <c r="W237" s="26"/>
      <c r="X237" s="26"/>
      <c r="Y237" s="26"/>
      <c r="Z237" s="26"/>
      <c r="AA237" s="26"/>
      <c r="AB237" s="26"/>
    </row>
    <row r="238">
      <c r="A238" s="21" t="s">
        <v>898</v>
      </c>
      <c r="B238" s="22" t="s">
        <v>899</v>
      </c>
      <c r="C238" s="23" t="str">
        <f>IFERROR(__xludf.DUMMYFUNCTION("GOOGLETRANSLATE(B238, ""en"", ""fr"")"),"Structure du clan. Utilisé pour fabriquer des articles en métal.")</f>
        <v>Structure du clan. Utilisé pour fabriquer des articles en métal.</v>
      </c>
      <c r="D238" s="23" t="str">
        <f>IFERROR(__xludf.DUMMYFUNCTION("GOOGLETRANSLATE(B238, ""en"", ""es"")"),"Estructura del clan. Se usa para crear artículos de metal.")</f>
        <v>Estructura del clan. Se usa para crear artículos de metal.</v>
      </c>
      <c r="E238" s="23" t="str">
        <f>IFERROR(__xludf.DUMMYFUNCTION("GOOGLETRANSLATE(B238, ""en"", ""ru"")"),"Клановая структура. Используется для создания металлических предметов.")</f>
        <v>Клановая структура. Используется для создания металлических предметов.</v>
      </c>
      <c r="F238" s="23" t="str">
        <f>IFERROR(__xludf.DUMMYFUNCTION("GOOGLETRANSLATE(B238, ""en"", ""tr"")"),"Klan yapısı. Metal eşyalar yapmak için kullanılır.")</f>
        <v>Klan yapısı. Metal eşyalar yapmak için kullanılır.</v>
      </c>
      <c r="G238" s="23" t="str">
        <f>IFERROR(__xludf.DUMMYFUNCTION("GOOGLETRANSLATE(B238, ""en"", ""pt"")"),"Estrutura do clã. Usado para criar itens de metal.")</f>
        <v>Estrutura do clã. Usado para criar itens de metal.</v>
      </c>
      <c r="H238" s="24" t="str">
        <f>IFERROR(__xludf.DUMMYFUNCTION("GOOGLETRANSLATE(B238, ""en"", ""de"")"),"Clanstruktur. Wird verwendet, um Metallgegenstände zu erstellen.")</f>
        <v>Clanstruktur. Wird verwendet, um Metallgegenstände zu erstellen.</v>
      </c>
      <c r="I238" s="23" t="str">
        <f>IFERROR(__xludf.DUMMYFUNCTION("GOOGLETRANSLATE(B238, ""en"", ""pl"")"),"Struktura klanu. Służy do tworzenia metalowych przedmiotów.")</f>
        <v>Struktura klanu. Służy do tworzenia metalowych przedmiotów.</v>
      </c>
      <c r="J238" s="25" t="str">
        <f>IFERROR(__xludf.DUMMYFUNCTION("GOOGLETRANSLATE(B238, ""en"", ""zh"")"),"氏族结构。用于制作金属物品。")</f>
        <v>氏族结构。用于制作金属物品。</v>
      </c>
      <c r="K238" s="25" t="str">
        <f>IFERROR(__xludf.DUMMYFUNCTION("GOOGLETRANSLATE(B238, ""en"", ""vi"")"),"Cấu trúc gia tộc. Được sử dụng để chế tạo các mặt hàng kim loại.")</f>
        <v>Cấu trúc gia tộc. Được sử dụng để chế tạo các mặt hàng kim loại.</v>
      </c>
      <c r="L238" s="42" t="str">
        <f>IFERROR(__xludf.DUMMYFUNCTION("GOOGLETRANSLATE(B238, ""en"", ""hr"")"),"Struktura klana. Koristi se za izradu metalnih predmeta.")</f>
        <v>Struktura klana. Koristi se za izradu metalnih predmeta.</v>
      </c>
      <c r="M238" s="26"/>
      <c r="N238" s="26"/>
      <c r="O238" s="26"/>
      <c r="P238" s="26"/>
      <c r="Q238" s="26"/>
      <c r="R238" s="26"/>
      <c r="S238" s="26"/>
      <c r="T238" s="26"/>
      <c r="U238" s="26"/>
      <c r="V238" s="26"/>
      <c r="W238" s="26"/>
      <c r="X238" s="26"/>
      <c r="Y238" s="26"/>
      <c r="Z238" s="26"/>
      <c r="AA238" s="26"/>
      <c r="AB238" s="26"/>
    </row>
    <row r="239">
      <c r="A239" s="45" t="s">
        <v>900</v>
      </c>
      <c r="B239" s="22" t="s">
        <v>440</v>
      </c>
      <c r="C239" s="23" t="str">
        <f>IFERROR(__xludf.DUMMYFUNCTION("GOOGLETRANSLATE(B239, ""en"", ""fr"")"),"Laboratoire")</f>
        <v>Laboratoire</v>
      </c>
      <c r="D239" s="23" t="str">
        <f>IFERROR(__xludf.DUMMYFUNCTION("GOOGLETRANSLATE(B239, ""en"", ""es"")"),"Laboratorio")</f>
        <v>Laboratorio</v>
      </c>
      <c r="E239" s="23" t="str">
        <f>IFERROR(__xludf.DUMMYFUNCTION("GOOGLETRANSLATE(B239, ""en"", ""ru"")"),"Лаборатория")</f>
        <v>Лаборатория</v>
      </c>
      <c r="F239" s="23" t="str">
        <f>IFERROR(__xludf.DUMMYFUNCTION("GOOGLETRANSLATE(B239, ""en"", ""tr"")"),"Laboratuvar")</f>
        <v>Laboratuvar</v>
      </c>
      <c r="G239" s="23" t="str">
        <f>IFERROR(__xludf.DUMMYFUNCTION("GOOGLETRANSLATE(B239, ""en"", ""pt"")"),"Laboratório")</f>
        <v>Laboratório</v>
      </c>
      <c r="H239" s="24" t="str">
        <f>IFERROR(__xludf.DUMMYFUNCTION("GOOGLETRANSLATE(B239, ""en"", ""de"")"),"Labor")</f>
        <v>Labor</v>
      </c>
      <c r="I239" s="23" t="str">
        <f>IFERROR(__xludf.DUMMYFUNCTION("GOOGLETRANSLATE(B239, ""en"", ""pl"")"),"Laboratorium")</f>
        <v>Laboratorium</v>
      </c>
      <c r="J239" s="25" t="str">
        <f>IFERROR(__xludf.DUMMYFUNCTION("GOOGLETRANSLATE(B239, ""en"", ""zh"")"),"实验室")</f>
        <v>实验室</v>
      </c>
      <c r="K239" s="25" t="str">
        <f>IFERROR(__xludf.DUMMYFUNCTION("GOOGLETRANSLATE(B239, ""en"", ""vi"")"),"Phòng thí nghiệm")</f>
        <v>Phòng thí nghiệm</v>
      </c>
      <c r="L239" s="42" t="str">
        <f>IFERROR(__xludf.DUMMYFUNCTION("GOOGLETRANSLATE(B239, ""en"", ""hr"")"),"Laboratorija")</f>
        <v>Laboratorija</v>
      </c>
      <c r="M239" s="26"/>
      <c r="N239" s="26"/>
      <c r="O239" s="26"/>
      <c r="P239" s="26"/>
      <c r="Q239" s="26"/>
      <c r="R239" s="26"/>
      <c r="S239" s="26"/>
      <c r="T239" s="26"/>
      <c r="U239" s="26"/>
      <c r="V239" s="26"/>
      <c r="W239" s="26"/>
      <c r="X239" s="26"/>
      <c r="Y239" s="26"/>
      <c r="Z239" s="26"/>
      <c r="AA239" s="26"/>
      <c r="AB239" s="26"/>
    </row>
    <row r="240">
      <c r="A240" s="45" t="s">
        <v>901</v>
      </c>
      <c r="B240" s="22" t="s">
        <v>902</v>
      </c>
      <c r="C240" s="23" t="str">
        <f>IFERROR(__xludf.DUMMYFUNCTION("GOOGLETRANSLATE(B240, ""en"", ""fr"")"),"Structure du clan. Utilisé pour fabriquer des potions.")</f>
        <v>Structure du clan. Utilisé pour fabriquer des potions.</v>
      </c>
      <c r="D240" s="23" t="str">
        <f>IFERROR(__xludf.DUMMYFUNCTION("GOOGLETRANSLATE(B240, ""en"", ""es"")"),"Estructura del clan. Se usa para crear pociones.")</f>
        <v>Estructura del clan. Se usa para crear pociones.</v>
      </c>
      <c r="E240" s="23" t="str">
        <f>IFERROR(__xludf.DUMMYFUNCTION("GOOGLETRANSLATE(B240, ""en"", ""ru"")"),"Клановая структура. Используется для создания зелий.")</f>
        <v>Клановая структура. Используется для создания зелий.</v>
      </c>
      <c r="F240" s="23" t="str">
        <f>IFERROR(__xludf.DUMMYFUNCTION("GOOGLETRANSLATE(B240, ""en"", ""tr"")"),"Klan yapısı. İksir yapmak için kullanılır.")</f>
        <v>Klan yapısı. İksir yapmak için kullanılır.</v>
      </c>
      <c r="G240" s="23" t="str">
        <f>IFERROR(__xludf.DUMMYFUNCTION("GOOGLETRANSLATE(B240, ""en"", ""pt"")"),"Estrutura do clã. Usado para criar poções.")</f>
        <v>Estrutura do clã. Usado para criar poções.</v>
      </c>
      <c r="H240" s="24" t="str">
        <f>IFERROR(__xludf.DUMMYFUNCTION("GOOGLETRANSLATE(B240, ""en"", ""de"")"),"Clanstruktur. Verwendet, um Tränke zu erstellen.")</f>
        <v>Clanstruktur. Verwendet, um Tränke zu erstellen.</v>
      </c>
      <c r="I240" s="23" t="str">
        <f>IFERROR(__xludf.DUMMYFUNCTION("GOOGLETRANSLATE(B240, ""en"", ""pl"")"),"Struktura klanu. Używane do tworzenia mikstur.")</f>
        <v>Struktura klanu. Używane do tworzenia mikstur.</v>
      </c>
      <c r="J240" s="25" t="str">
        <f>IFERROR(__xludf.DUMMYFUNCTION("GOOGLETRANSLATE(B240, ""en"", ""zh"")"),"氏族结构。用于制作药水。")</f>
        <v>氏族结构。用于制作药水。</v>
      </c>
      <c r="K240" s="25" t="str">
        <f>IFERROR(__xludf.DUMMYFUNCTION("GOOGLETRANSLATE(B240, ""en"", ""vi"")"),"Cấu trúc gia tộc. Được sử dụng để tạo ra các potions.")</f>
        <v>Cấu trúc gia tộc. Được sử dụng để tạo ra các potions.</v>
      </c>
      <c r="L240" s="42" t="str">
        <f>IFERROR(__xludf.DUMMYFUNCTION("GOOGLETRANSLATE(B240, ""en"", ""hr"")"),"Struktura klana. Koristi se za izradu napitaka.")</f>
        <v>Struktura klana. Koristi se za izradu napitaka.</v>
      </c>
      <c r="M240" s="26"/>
      <c r="N240" s="26"/>
      <c r="O240" s="26"/>
      <c r="P240" s="26"/>
      <c r="Q240" s="26"/>
      <c r="R240" s="26"/>
      <c r="S240" s="26"/>
      <c r="T240" s="26"/>
      <c r="U240" s="26"/>
      <c r="V240" s="26"/>
      <c r="W240" s="26"/>
      <c r="X240" s="26"/>
      <c r="Y240" s="26"/>
      <c r="Z240" s="26"/>
      <c r="AA240" s="26"/>
      <c r="AB240" s="26"/>
    </row>
    <row r="241">
      <c r="A241" s="45" t="s">
        <v>903</v>
      </c>
      <c r="B241" s="22" t="s">
        <v>904</v>
      </c>
      <c r="C241" s="23" t="str">
        <f>IFERROR(__xludf.DUMMYFUNCTION("GOOGLETRANSLATE(B241, ""en"", ""fr"")"),"Générateur")</f>
        <v>Générateur</v>
      </c>
      <c r="D241" s="23" t="str">
        <f>IFERROR(__xludf.DUMMYFUNCTION("GOOGLETRANSLATE(B241, ""en"", ""es"")"),"Generador")</f>
        <v>Generador</v>
      </c>
      <c r="E241" s="23" t="str">
        <f>IFERROR(__xludf.DUMMYFUNCTION("GOOGLETRANSLATE(B241, ""en"", ""ru"")"),"Генератор")</f>
        <v>Генератор</v>
      </c>
      <c r="F241" s="23" t="str">
        <f>IFERROR(__xludf.DUMMYFUNCTION("GOOGLETRANSLATE(B241, ""en"", ""tr"")"),"Jeneratör")</f>
        <v>Jeneratör</v>
      </c>
      <c r="G241" s="23" t="str">
        <f>IFERROR(__xludf.DUMMYFUNCTION("GOOGLETRANSLATE(B241, ""en"", ""pt"")"),"Gerador")</f>
        <v>Gerador</v>
      </c>
      <c r="H241" s="24" t="str">
        <f>IFERROR(__xludf.DUMMYFUNCTION("GOOGLETRANSLATE(B241, ""en"", ""de"")"),"Generator")</f>
        <v>Generator</v>
      </c>
      <c r="I241" s="23" t="str">
        <f>IFERROR(__xludf.DUMMYFUNCTION("GOOGLETRANSLATE(B241, ""en"", ""pl"")"),"Generator")</f>
        <v>Generator</v>
      </c>
      <c r="J241" s="25" t="str">
        <f>IFERROR(__xludf.DUMMYFUNCTION("GOOGLETRANSLATE(B241, ""en"", ""zh"")"),"发电机")</f>
        <v>发电机</v>
      </c>
      <c r="K241" s="25" t="str">
        <f>IFERROR(__xludf.DUMMYFUNCTION("GOOGLETRANSLATE(B241, ""en"", ""vi"")"),"Máy phát điện")</f>
        <v>Máy phát điện</v>
      </c>
      <c r="L241" s="42" t="str">
        <f>IFERROR(__xludf.DUMMYFUNCTION("GOOGLETRANSLATE(B241, ""en"", ""hr"")"),"Generator")</f>
        <v>Generator</v>
      </c>
      <c r="M241" s="26"/>
      <c r="N241" s="26"/>
      <c r="O241" s="26"/>
      <c r="P241" s="26"/>
      <c r="Q241" s="26"/>
      <c r="R241" s="26"/>
      <c r="S241" s="26"/>
      <c r="T241" s="26"/>
      <c r="U241" s="26"/>
      <c r="V241" s="26"/>
      <c r="W241" s="26"/>
      <c r="X241" s="26"/>
      <c r="Y241" s="26"/>
      <c r="Z241" s="26"/>
      <c r="AA241" s="26"/>
      <c r="AB241" s="26"/>
    </row>
    <row r="242">
      <c r="A242" s="45" t="s">
        <v>905</v>
      </c>
      <c r="B242" s="22" t="s">
        <v>906</v>
      </c>
      <c r="C242" s="23" t="str">
        <f>IFERROR(__xludf.DUMMYFUNCTION("GOOGLETRANSLATE(B242, ""en"", ""fr"")"),"Structure du clan. Convertit la gloire des joueurs en puissance qui peut être utilisée pour activer d'autres structures de clan qui nécessitent de la puissance et peuvent protéger toutes les structures de clan à cause des dommages.")</f>
        <v>Structure du clan. Convertit la gloire des joueurs en puissance qui peut être utilisée pour activer d'autres structures de clan qui nécessitent de la puissance et peuvent protéger toutes les structures de clan à cause des dommages.</v>
      </c>
      <c r="D242" s="23" t="str">
        <f>IFERROR(__xludf.DUMMYFUNCTION("GOOGLETRANSLATE(B242, ""en"", ""es"")"),"Estructura del clan. Convierte la gloria de los jugadores en poder que se pueden usar para activar otras estructuras de clan que requieren potencia, y pueden proteger todas las estructuras de clan del daño.")</f>
        <v>Estructura del clan. Convierte la gloria de los jugadores en poder que se pueden usar para activar otras estructuras de clan que requieren potencia, y pueden proteger todas las estructuras de clan del daño.</v>
      </c>
      <c r="E242" s="23" t="str">
        <f>IFERROR(__xludf.DUMMYFUNCTION("GOOGLETRANSLATE(B242, ""en"", ""ru"")"),"Клановая структура. Преобразует славу из игроков в власть, которую можно использовать для активации других структур кланов, которые требуют мощности, и могут защитить все структуры клана от повреждений.")</f>
        <v>Клановая структура. Преобразует славу из игроков в власть, которую можно использовать для активации других структур кланов, которые требуют мощности, и могут защитить все структуры клана от повреждений.</v>
      </c>
      <c r="F242" s="23" t="str">
        <f>IFERROR(__xludf.DUMMYFUNCTION("GOOGLETRANSLATE(B242, ""en"", ""tr"")"),"Klan yapısı. Glory'yi, güç gerektiren diğer klan yapılarını aktive etmek için kullanılabilecek ve tüm klan yapılarını hasardan koruyabilen iktidara dönüştürür.")</f>
        <v>Klan yapısı. Glory'yi, güç gerektiren diğer klan yapılarını aktive etmek için kullanılabilecek ve tüm klan yapılarını hasardan koruyabilen iktidara dönüştürür.</v>
      </c>
      <c r="G242" s="23" t="str">
        <f>IFERROR(__xludf.DUMMYFUNCTION("GOOGLETRANSLATE(B242, ""en"", ""pt"")"),"Estrutura do clã. Converte a glória de jogadores em energia que pode ser usada para ativar outras estruturas do clã que requerem energia e podem proteger todas as estruturas do clã de danos.")</f>
        <v>Estrutura do clã. Converte a glória de jogadores em energia que pode ser usada para ativar outras estruturas do clã que requerem energia e podem proteger todas as estruturas do clã de danos.</v>
      </c>
      <c r="H242" s="24" t="str">
        <f>IFERROR(__xludf.DUMMYFUNCTION("GOOGLETRANSLATE(B242, ""en"", ""de"")"),"Clanstruktur. Konvertiert Ruhm von Spielern in Strom, die verwendet werden können, um andere Clanstrukturen zu aktivieren, die Strom erfordern, und können alle Clanstrukturen vor Schäden schützen.")</f>
        <v>Clanstruktur. Konvertiert Ruhm von Spielern in Strom, die verwendet werden können, um andere Clanstrukturen zu aktivieren, die Strom erfordern, und können alle Clanstrukturen vor Schäden schützen.</v>
      </c>
      <c r="I242" s="23" t="str">
        <f>IFERROR(__xludf.DUMMYFUNCTION("GOOGLETRANSLATE(B242, ""en"", ""pl"")"),"Struktura klanu. Przekształca chwałę z graczy w moc, które można użyć do aktywacji innych struktur klanu, które wymagają mocy, i mogą chronić wszystkie struktury klanowe przed uszkodzeniem.")</f>
        <v>Struktura klanu. Przekształca chwałę z graczy w moc, które można użyć do aktywacji innych struktur klanu, które wymagają mocy, i mogą chronić wszystkie struktury klanowe przed uszkodzeniem.</v>
      </c>
      <c r="J242" s="25" t="str">
        <f>IFERROR(__xludf.DUMMYFUNCTION("GOOGLETRANSLATE(B242, ""en"", ""zh"")"),"氏族结构。将荣耀从玩家转变为可以用来激活需要动力的其他氏族结构的力量，并可以保护所有氏族结构免受伤害。")</f>
        <v>氏族结构。将荣耀从玩家转变为可以用来激活需要动力的其他氏族结构的力量，并可以保护所有氏族结构免受伤害。</v>
      </c>
      <c r="K242" s="25" t="str">
        <f>IFERROR(__xludf.DUMMYFUNCTION("GOOGLETRANSLATE(B242, ""en"", ""vi"")"),"Cấu trúc gia tộc. Chuyển đổi vinh quang từ người chơi thành sức mạnh có thể được sử dụng để kích hoạt các cấu trúc gia tộc khác đòi hỏi sức mạnh và có thể che chắn tất cả các cấu trúc gia tộc khỏi thiệt hại.")</f>
        <v>Cấu trúc gia tộc. Chuyển đổi vinh quang từ người chơi thành sức mạnh có thể được sử dụng để kích hoạt các cấu trúc gia tộc khác đòi hỏi sức mạnh và có thể che chắn tất cả các cấu trúc gia tộc khỏi thiệt hại.</v>
      </c>
      <c r="L242" s="42" t="str">
        <f>IFERROR(__xludf.DUMMYFUNCTION("GOOGLETRANSLATE(B242, ""en"", ""hr"")"),"Struktura klana. Pretvara slavu iz igrača u snagu koja se može koristiti za aktiviranje drugih struktura klana koje zahtijevaju snagu i može zaštititi sve strukture klana od oštećenja.")</f>
        <v>Struktura klana. Pretvara slavu iz igrača u snagu koja se može koristiti za aktiviranje drugih struktura klana koje zahtijevaju snagu i može zaštititi sve strukture klana od oštećenja.</v>
      </c>
      <c r="M242" s="26"/>
      <c r="N242" s="26"/>
      <c r="O242" s="26"/>
      <c r="P242" s="26"/>
      <c r="Q242" s="26"/>
      <c r="R242" s="26"/>
      <c r="S242" s="26"/>
      <c r="T242" s="26"/>
      <c r="U242" s="26"/>
      <c r="V242" s="26"/>
      <c r="W242" s="26"/>
      <c r="X242" s="26"/>
      <c r="Y242" s="26"/>
      <c r="Z242" s="26"/>
      <c r="AA242" s="26"/>
      <c r="AB242" s="26"/>
    </row>
    <row r="243">
      <c r="A243" s="45" t="s">
        <v>907</v>
      </c>
      <c r="B243" s="22" t="s">
        <v>908</v>
      </c>
      <c r="C243" s="23" t="str">
        <f>IFERROR(__xludf.DUMMYFUNCTION("GOOGLETRANSLATE(B243, ""en"", ""fr"")"),"Clé de chasse")</f>
        <v>Clé de chasse</v>
      </c>
      <c r="D243" s="23" t="str">
        <f>IFERROR(__xludf.DUMMYFUNCTION("GOOGLETRANSLATE(B243, ""en"", ""es"")"),"Llave de luchador")</f>
        <v>Llave de luchador</v>
      </c>
      <c r="E243" s="23" t="str">
        <f>IFERROR(__xludf.DUMMYFUNCTION("GOOGLETRANSLATE(B243, ""en"", ""ru"")"),"Истребитель")</f>
        <v>Истребитель</v>
      </c>
      <c r="F243" s="23" t="str">
        <f>IFERROR(__xludf.DUMMYFUNCTION("GOOGLETRANSLATE(B243, ""en"", ""tr"")"),"Avcı anahtarı")</f>
        <v>Avcı anahtarı</v>
      </c>
      <c r="G243" s="23" t="str">
        <f>IFERROR(__xludf.DUMMYFUNCTION("GOOGLETRANSLATE(B243, ""en"", ""pt"")"),"Chave do lutador")</f>
        <v>Chave do lutador</v>
      </c>
      <c r="H243" s="24" t="str">
        <f>IFERROR(__xludf.DUMMYFUNCTION("GOOGLETRANSLATE(B243, ""en"", ""de"")"),"Kämpferschlüssel")</f>
        <v>Kämpferschlüssel</v>
      </c>
      <c r="I243" s="23" t="str">
        <f>IFERROR(__xludf.DUMMYFUNCTION("GOOGLETRANSLATE(B243, ""en"", ""pl"")"),"Klucz myśliwca")</f>
        <v>Klucz myśliwca</v>
      </c>
      <c r="J243" s="25" t="str">
        <f>IFERROR(__xludf.DUMMYFUNCTION("GOOGLETRANSLATE(B243, ""en"", ""zh"")"),"战斗机钥匙")</f>
        <v>战斗机钥匙</v>
      </c>
      <c r="K243" s="25" t="str">
        <f>IFERROR(__xludf.DUMMYFUNCTION("GOOGLETRANSLATE(B243, ""en"", ""vi"")"),"Khóa chiến đấu")</f>
        <v>Khóa chiến đấu</v>
      </c>
      <c r="L243" s="42" t="str">
        <f>IFERROR(__xludf.DUMMYFUNCTION("GOOGLETRANSLATE(B243, ""en"", ""hr"")"),"Borbeni ključ")</f>
        <v>Borbeni ključ</v>
      </c>
      <c r="M243" s="26"/>
      <c r="N243" s="26"/>
      <c r="O243" s="26"/>
      <c r="P243" s="26"/>
      <c r="Q243" s="26"/>
      <c r="R243" s="26"/>
      <c r="S243" s="26"/>
      <c r="T243" s="26"/>
      <c r="U243" s="26"/>
      <c r="V243" s="26"/>
      <c r="W243" s="26"/>
      <c r="X243" s="26"/>
      <c r="Y243" s="26"/>
      <c r="Z243" s="26"/>
      <c r="AA243" s="26"/>
      <c r="AB243" s="26"/>
    </row>
    <row r="244">
      <c r="A244" s="45" t="s">
        <v>909</v>
      </c>
      <c r="B244" s="22" t="s">
        <v>910</v>
      </c>
      <c r="C244" s="23" t="str">
        <f>IFERROR(__xludf.DUMMYFUNCTION("GOOGLETRANSLATE(B244,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244" s="23" t="str">
        <f>IFERROR(__xludf.DUMMYFUNCTION("GOOGLETRANSLATE(B244, ""en"", ""es"")"),"Abre la puerta al área de preparación de PvP Arena. ¡Advertencia! ¡Otros jugadores pueden atacarte en el pozo de pelea!")</f>
        <v>Abre la puerta al área de preparación de PvP Arena. ¡Advertencia! ¡Otros jugadores pueden atacarte en el pozo de pelea!</v>
      </c>
      <c r="E244" s="23" t="str">
        <f>IFERROR(__xludf.DUMMYFUNCTION("GOOGLETRANSLATE(B244, ""en"", ""ru"")"),"Открывает дверь в зону подготовки PVP Arena. Предупреждение! Другие игроки могут атаковать вас в боевой яме!")</f>
        <v>Открывает дверь в зону подготовки PVP Arena. Предупреждение! Другие игроки могут атаковать вас в боевой яме!</v>
      </c>
      <c r="F244" s="23" t="str">
        <f>IFERROR(__xludf.DUMMYFUNCTION("GOOGLETRANSLATE(B244, ""en"", ""tr"")"),"PVP Arena Hazırlık Alanının kapısını açar. Uyarı! Diğer oyuncular dövüş çukurunda size saldırabilir!")</f>
        <v>PVP Arena Hazırlık Alanının kapısını açar. Uyarı! Diğer oyuncular dövüş çukurunda size saldırabilir!</v>
      </c>
      <c r="G244" s="23" t="str">
        <f>IFERROR(__xludf.DUMMYFUNCTION("GOOGLETRANSLATE(B244, ""en"", ""pt"")"),"Abre a porta para a área de preparação da arena de PVP. Aviso! Outros jogadores podem atacá -lo no poço de luta!")</f>
        <v>Abre a porta para a área de preparação da arena de PVP. Aviso! Outros jogadores podem atacá -lo no poço de luta!</v>
      </c>
      <c r="H244" s="24" t="str">
        <f>IFERROR(__xludf.DUMMYFUNCTION("GOOGLETRANSLATE(B244, ""en"", ""de"")"),"Öffnet die Tür zum Vorbereitungsbereich der PVP Arena. Warnung! Andere Spieler können Sie in der Kampfgrube angreifen!")</f>
        <v>Öffnet die Tür zum Vorbereitungsbereich der PVP Arena. Warnung! Andere Spieler können Sie in der Kampfgrube angreifen!</v>
      </c>
      <c r="I244" s="23" t="str">
        <f>IFERROR(__xludf.DUMMYFUNCTION("GOOGLETRANSLATE(B244, ""en"", ""pl"")"),"Otwiera drzwi do obszaru przygotowania areny PVP. Ostrzeżenie! Inni gracze mogą cię zaatakować w dole walki!")</f>
        <v>Otwiera drzwi do obszaru przygotowania areny PVP. Ostrzeżenie! Inni gracze mogą cię zaatakować w dole walki!</v>
      </c>
      <c r="J244" s="25" t="str">
        <f>IFERROR(__xludf.DUMMYFUNCTION("GOOGLETRANSLATE(B244, ""en"", ""zh"")"),"打开PVP竞技场准备区的门。警告！其他球员可以在战斗坑中攻击您！")</f>
        <v>打开PVP竞技场准备区的门。警告！其他球员可以在战斗坑中攻击您！</v>
      </c>
      <c r="K244" s="25" t="str">
        <f>IFERROR(__xludf.DUMMYFUNCTION("GOOGLETRANSLATE(B244, ""en"", ""vi"")"),"Mở cửa cho khu vực chuẩn bị đấu trường PVP. Cảnh báo! Những người chơi khác có thể tấn công bạn trong hố chiến đấu!")</f>
        <v>Mở cửa cho khu vực chuẩn bị đấu trường PVP. Cảnh báo! Những người chơi khác có thể tấn công bạn trong hố chiến đấu!</v>
      </c>
      <c r="L244" s="42" t="str">
        <f>IFERROR(__xludf.DUMMYFUNCTION("GOOGLETRANSLATE(B244, ""en"", ""hr"")"),"Otvara vrata PVP Areni za pripremu. Upozorenje! Ostali igrači mogu vas napasti u borbenoj jami!")</f>
        <v>Otvara vrata PVP Areni za pripremu. Upozorenje! Ostali igrači mogu vas napasti u borbenoj jami!</v>
      </c>
      <c r="M244" s="26"/>
      <c r="N244" s="26"/>
      <c r="O244" s="26"/>
      <c r="P244" s="26"/>
      <c r="Q244" s="26"/>
      <c r="R244" s="26"/>
      <c r="S244" s="26"/>
      <c r="T244" s="26"/>
      <c r="U244" s="26"/>
      <c r="V244" s="26"/>
      <c r="W244" s="26"/>
      <c r="X244" s="26"/>
      <c r="Y244" s="26"/>
      <c r="Z244" s="26"/>
      <c r="AA244" s="26"/>
      <c r="AB244" s="26"/>
    </row>
    <row r="245">
      <c r="A245" s="45" t="s">
        <v>911</v>
      </c>
      <c r="B245" s="22" t="s">
        <v>912</v>
      </c>
      <c r="C245" s="23" t="str">
        <f>IFERROR(__xludf.DUMMYFUNCTION("GOOGLETRANSLATE(B245, ""en"", ""fr"")"),"Touche")</f>
        <v>Touche</v>
      </c>
      <c r="D245" s="23" t="str">
        <f>IFERROR(__xludf.DUMMYFUNCTION("GOOGLETRANSLATE(B245, ""en"", ""es"")"),"Llave en boxes")</f>
        <v>Llave en boxes</v>
      </c>
      <c r="E245" s="23" t="str">
        <f>IFERROR(__xludf.DUMMYFUNCTION("GOOGLETRANSLATE(B245, ""en"", ""ru"")"),"Яма ключ")</f>
        <v>Яма ключ</v>
      </c>
      <c r="F245" s="23" t="str">
        <f>IFERROR(__xludf.DUMMYFUNCTION("GOOGLETRANSLATE(B245, ""en"", ""tr"")"),"Çukur")</f>
        <v>Çukur</v>
      </c>
      <c r="G245" s="23" t="str">
        <f>IFERROR(__xludf.DUMMYFUNCTION("GOOGLETRANSLATE(B245, ""en"", ""pt"")"),"Chave do poço")</f>
        <v>Chave do poço</v>
      </c>
      <c r="H245" s="24" t="str">
        <f>IFERROR(__xludf.DUMMYFUNCTION("GOOGLETRANSLATE(B245, ""en"", ""de"")"),"Grubeschlüssel")</f>
        <v>Grubeschlüssel</v>
      </c>
      <c r="I245" s="23" t="str">
        <f>IFERROR(__xludf.DUMMYFUNCTION("GOOGLETRANSLATE(B245, ""en"", ""pl"")"),"Klucz do pit")</f>
        <v>Klucz do pit</v>
      </c>
      <c r="J245" s="25" t="str">
        <f>IFERROR(__xludf.DUMMYFUNCTION("GOOGLETRANSLATE(B245, ""en"", ""zh"")"),"坑键")</f>
        <v>坑键</v>
      </c>
      <c r="K245" s="25" t="str">
        <f>IFERROR(__xludf.DUMMYFUNCTION("GOOGLETRANSLATE(B245, ""en"", ""vi"")"),"Khóa hố")</f>
        <v>Khóa hố</v>
      </c>
      <c r="L245" s="42" t="str">
        <f>IFERROR(__xludf.DUMMYFUNCTION("GOOGLETRANSLATE(B245, ""en"", ""hr"")"),"Jama")</f>
        <v>Jama</v>
      </c>
      <c r="M245" s="26"/>
      <c r="N245" s="26"/>
      <c r="O245" s="26"/>
      <c r="P245" s="26"/>
      <c r="Q245" s="26"/>
      <c r="R245" s="26"/>
      <c r="S245" s="26"/>
      <c r="T245" s="26"/>
      <c r="U245" s="26"/>
      <c r="V245" s="26"/>
      <c r="W245" s="26"/>
      <c r="X245" s="26"/>
      <c r="Y245" s="26"/>
      <c r="Z245" s="26"/>
      <c r="AA245" s="26"/>
      <c r="AB245" s="26"/>
    </row>
    <row r="246">
      <c r="A246" s="45" t="s">
        <v>913</v>
      </c>
      <c r="B246" s="22" t="s">
        <v>914</v>
      </c>
      <c r="C246" s="23" t="str">
        <f>IFERROR(__xludf.DUMMYFUNCTION("GOOGLETRANSLATE(B246, ""en"", ""fr"")"),"Ouvre les portes pour sortir de la fosse de combat.")</f>
        <v>Ouvre les portes pour sortir de la fosse de combat.</v>
      </c>
      <c r="D246" s="23" t="str">
        <f>IFERROR(__xludf.DUMMYFUNCTION("GOOGLETRANSLATE(B246, ""en"", ""es"")"),"Abre las puertas para salir del pozo de pelea.")</f>
        <v>Abre las puertas para salir del pozo de pelea.</v>
      </c>
      <c r="E246" s="23" t="str">
        <f>IFERROR(__xludf.DUMMYFUNCTION("GOOGLETRANSLATE(B246, ""en"", ""ru"")"),"Открывает двери, чтобы выйти из ямы боя.")</f>
        <v>Открывает двери, чтобы выйти из ямы боя.</v>
      </c>
      <c r="F246" s="23" t="str">
        <f>IFERROR(__xludf.DUMMYFUNCTION("GOOGLETRANSLATE(B246, ""en"", ""tr"")"),"Dövüş çukurundan çıkmak için kapıları açar.")</f>
        <v>Dövüş çukurundan çıkmak için kapıları açar.</v>
      </c>
      <c r="G246" s="23" t="str">
        <f>IFERROR(__xludf.DUMMYFUNCTION("GOOGLETRANSLATE(B246, ""en"", ""pt"")"),"Abre as portas para sair do poço de luta.")</f>
        <v>Abre as portas para sair do poço de luta.</v>
      </c>
      <c r="H246" s="24" t="str">
        <f>IFERROR(__xludf.DUMMYFUNCTION("GOOGLETRANSLATE(B246, ""en"", ""de"")"),"Öffnet die Türen, um aus der Kampfgrube herauszukommen.")</f>
        <v>Öffnet die Türen, um aus der Kampfgrube herauszukommen.</v>
      </c>
      <c r="I246" s="23" t="str">
        <f>IFERROR(__xludf.DUMMYFUNCTION("GOOGLETRANSLATE(B246, ""en"", ""pl"")"),"Otwiera drzwi, aby wydostać się z dołu walki.")</f>
        <v>Otwiera drzwi, aby wydostać się z dołu walki.</v>
      </c>
      <c r="J246" s="25" t="str">
        <f>IFERROR(__xludf.DUMMYFUNCTION("GOOGLETRANSLATE(B246, ""en"", ""zh"")"),"打开门以离开战斗坑。")</f>
        <v>打开门以离开战斗坑。</v>
      </c>
      <c r="K246" s="25" t="str">
        <f>IFERROR(__xludf.DUMMYFUNCTION("GOOGLETRANSLATE(B246, ""en"", ""vi"")"),"Mở ra cánh cửa để ra khỏi hố chiến đấu.")</f>
        <v>Mở ra cánh cửa để ra khỏi hố chiến đấu.</v>
      </c>
      <c r="L246" s="42" t="str">
        <f>IFERROR(__xludf.DUMMYFUNCTION("GOOGLETRANSLATE(B246, ""en"", ""hr"")"),"Otvara vrata kako bi izašao iz jame za borbu.")</f>
        <v>Otvara vrata kako bi izašao iz jame za borbu.</v>
      </c>
      <c r="M246" s="26"/>
      <c r="N246" s="26"/>
      <c r="O246" s="26"/>
      <c r="P246" s="26"/>
      <c r="Q246" s="26"/>
      <c r="R246" s="26"/>
      <c r="S246" s="26"/>
      <c r="T246" s="26"/>
      <c r="U246" s="26"/>
      <c r="V246" s="26"/>
      <c r="W246" s="26"/>
      <c r="X246" s="26"/>
      <c r="Y246" s="26"/>
      <c r="Z246" s="26"/>
      <c r="AA246" s="26"/>
      <c r="AB246" s="26"/>
    </row>
    <row r="247">
      <c r="A247" s="21" t="s">
        <v>915</v>
      </c>
      <c r="B247" s="22" t="s">
        <v>916</v>
      </c>
      <c r="C247" s="23" t="str">
        <f>IFERROR(__xludf.DUMMYFUNCTION("GOOGLETRANSLATE(B247, ""en"", ""fr"")"),"Faites défiler la zone de guérison")</f>
        <v>Faites défiler la zone de guérison</v>
      </c>
      <c r="D247" s="23" t="str">
        <f>IFERROR(__xludf.DUMMYFUNCTION("GOOGLETRANSLATE(B247, ""en"", ""es"")"),"Scroll of Heal Area")</f>
        <v>Scroll of Heal Area</v>
      </c>
      <c r="E247" s="23" t="str">
        <f>IFERROR(__xludf.DUMMYFUNCTION("GOOGLETRANSLATE(B247, ""en"", ""ru"")"),"Прокрутка области исцеления")</f>
        <v>Прокрутка области исцеления</v>
      </c>
      <c r="F247" s="23" t="str">
        <f>IFERROR(__xludf.DUMMYFUNCTION("GOOGLETRANSLATE(B247, ""en"", ""tr"")"),"İyileşme alanı kaydırma")</f>
        <v>İyileşme alanı kaydırma</v>
      </c>
      <c r="G247" s="23" t="str">
        <f>IFERROR(__xludf.DUMMYFUNCTION("GOOGLETRANSLATE(B247, ""en"", ""pt"")"),"Pergaminho da área de cura")</f>
        <v>Pergaminho da área de cura</v>
      </c>
      <c r="H247" s="24" t="str">
        <f>IFERROR(__xludf.DUMMYFUNCTION("GOOGLETRANSLATE(B247, ""en"", ""de"")"),"Schriftrolle des Heilungsbereichs")</f>
        <v>Schriftrolle des Heilungsbereichs</v>
      </c>
      <c r="I247" s="23" t="str">
        <f>IFERROR(__xludf.DUMMYFUNCTION("GOOGLETRANSLATE(B247, ""en"", ""pl"")"),"Zwój obszaru leczenia")</f>
        <v>Zwój obszaru leczenia</v>
      </c>
      <c r="J247" s="25" t="str">
        <f>IFERROR(__xludf.DUMMYFUNCTION("GOOGLETRANSLATE(B247, ""en"", ""zh"")"),"卷轴")</f>
        <v>卷轴</v>
      </c>
      <c r="K247" s="25" t="str">
        <f>IFERROR(__xludf.DUMMYFUNCTION("GOOGLETRANSLATE(B247, ""en"", ""vi"")"),"Cuộn khu vực chữa lành")</f>
        <v>Cuộn khu vực chữa lành</v>
      </c>
      <c r="L247" s="42" t="str">
        <f>IFERROR(__xludf.DUMMYFUNCTION("GOOGLETRANSLATE(B247, ""en"", ""hr"")"),"Pomicanje područja liječenja")</f>
        <v>Pomicanje područja liječenja</v>
      </c>
      <c r="M247" s="26"/>
      <c r="N247" s="26"/>
      <c r="O247" s="26"/>
      <c r="P247" s="26"/>
      <c r="Q247" s="26"/>
      <c r="R247" s="26"/>
      <c r="S247" s="26"/>
      <c r="T247" s="26"/>
      <c r="U247" s="26"/>
      <c r="V247" s="26"/>
      <c r="W247" s="26"/>
      <c r="X247" s="26"/>
      <c r="Y247" s="26"/>
      <c r="Z247" s="26"/>
      <c r="AA247" s="26"/>
      <c r="AB247" s="26"/>
    </row>
    <row r="248">
      <c r="A248" s="21" t="s">
        <v>917</v>
      </c>
      <c r="B248" s="22" t="s">
        <v>918</v>
      </c>
      <c r="C248" s="23" t="str">
        <f>IFERROR(__xludf.DUMMYFUNCTION("GOOGLETRANSLATE(B248, ""en"", ""fr"")"),"Guérit toutes les créatures autour de vous.")</f>
        <v>Guérit toutes les créatures autour de vous.</v>
      </c>
      <c r="D248" s="23" t="str">
        <f>IFERROR(__xludf.DUMMYFUNCTION("GOOGLETRANSLATE(B248, ""en"", ""es"")"),"Cura a todas las criaturas a su alrededor.")</f>
        <v>Cura a todas las criaturas a su alrededor.</v>
      </c>
      <c r="E248" s="23" t="str">
        <f>IFERROR(__xludf.DUMMYFUNCTION("GOOGLETRANSLATE(B248, ""en"", ""ru"")"),"Исцеляет всех существ вокруг себя.")</f>
        <v>Исцеляет всех существ вокруг себя.</v>
      </c>
      <c r="F248" s="23" t="str">
        <f>IFERROR(__xludf.DUMMYFUNCTION("GOOGLETRANSLATE(B248, ""en"", ""tr"")"),"Çevresindeki tüm yaratıkları iyileştirir.")</f>
        <v>Çevresindeki tüm yaratıkları iyileştirir.</v>
      </c>
      <c r="G248" s="23" t="str">
        <f>IFERROR(__xludf.DUMMYFUNCTION("GOOGLETRANSLATE(B248, ""en"", ""pt"")"),"Cura todas as criaturas ao seu redor.")</f>
        <v>Cura todas as criaturas ao seu redor.</v>
      </c>
      <c r="H248" s="24" t="str">
        <f>IFERROR(__xludf.DUMMYFUNCTION("GOOGLETRANSLATE(B248, ""en"", ""de"")"),"Heilt alle Kreaturen um sich herum.")</f>
        <v>Heilt alle Kreaturen um sich herum.</v>
      </c>
      <c r="I248" s="23" t="str">
        <f>IFERROR(__xludf.DUMMYFUNCTION("GOOGLETRANSLATE(B248, ""en"", ""pl"")"),"Ulecza wszystkie stworzenia wokół siebie.")</f>
        <v>Ulecza wszystkie stworzenia wokół siebie.</v>
      </c>
      <c r="J248" s="25" t="str">
        <f>IFERROR(__xludf.DUMMYFUNCTION("GOOGLETRANSLATE(B248, ""en"", ""zh"")"),"治愈周围的所有生物。")</f>
        <v>治愈周围的所有生物。</v>
      </c>
      <c r="K248" s="25" t="str">
        <f>IFERROR(__xludf.DUMMYFUNCTION("GOOGLETRANSLATE(B248, ""en"", ""vi"")"),"Chữa lành tất cả các sinh vật xung quanh chính bạn.")</f>
        <v>Chữa lành tất cả các sinh vật xung quanh chính bạn.</v>
      </c>
      <c r="L248" s="42" t="str">
        <f>IFERROR(__xludf.DUMMYFUNCTION("GOOGLETRANSLATE(B248, ""en"", ""hr"")"),"Liječi sva stvorenja oko sebe.")</f>
        <v>Liječi sva stvorenja oko sebe.</v>
      </c>
      <c r="M248" s="26"/>
      <c r="N248" s="26"/>
      <c r="O248" s="26"/>
      <c r="P248" s="26"/>
      <c r="Q248" s="26"/>
      <c r="R248" s="26"/>
      <c r="S248" s="26"/>
      <c r="T248" s="26"/>
      <c r="U248" s="26"/>
      <c r="V248" s="26"/>
      <c r="W248" s="26"/>
      <c r="X248" s="26"/>
      <c r="Y248" s="26"/>
      <c r="Z248" s="26"/>
      <c r="AA248" s="26"/>
      <c r="AB248" s="26"/>
    </row>
    <row r="249">
      <c r="A249" s="21" t="s">
        <v>919</v>
      </c>
      <c r="B249" s="22" t="s">
        <v>920</v>
      </c>
      <c r="C249" s="23" t="str">
        <f>IFERROR(__xludf.DUMMYFUNCTION("GOOGLETRANSLATE(B249, ""en"", ""fr"")"),"Faire défiler la garde")</f>
        <v>Faire défiler la garde</v>
      </c>
      <c r="D249" s="23" t="str">
        <f>IFERROR(__xludf.DUMMYFUNCTION("GOOGLETRANSLATE(B249, ""en"", ""es"")"),"Desplazamiento de la protección")</f>
        <v>Desplazamiento de la protección</v>
      </c>
      <c r="E249" s="23" t="str">
        <f>IFERROR(__xludf.DUMMYFUNCTION("GOOGLETRANSLATE(B249, ""en"", ""ru"")"),"Свиток опекунга")</f>
        <v>Свиток опекунга</v>
      </c>
      <c r="F249" s="23" t="str">
        <f>IFERROR(__xludf.DUMMYFUNCTION("GOOGLETRANSLATE(B249, ""en"", ""tr"")"),"Koğuşun kaydırma")</f>
        <v>Koğuşun kaydırma</v>
      </c>
      <c r="G249" s="23" t="str">
        <f>IFERROR(__xludf.DUMMYFUNCTION("GOOGLETRANSLATE(B249, ""en"", ""pt"")"),"Pergaminho de Warding")</f>
        <v>Pergaminho de Warding</v>
      </c>
      <c r="H249" s="24" t="str">
        <f>IFERROR(__xludf.DUMMYFUNCTION("GOOGLETRANSLATE(B249, ""en"", ""de"")"),"Warnschriften")</f>
        <v>Warnschriften</v>
      </c>
      <c r="I249" s="23" t="str">
        <f>IFERROR(__xludf.DUMMYFUNCTION("GOOGLETRANSLATE(B249, ""en"", ""pl"")"),"Zwój Warding")</f>
        <v>Zwój Warding</v>
      </c>
      <c r="J249" s="25" t="str">
        <f>IFERROR(__xludf.DUMMYFUNCTION("GOOGLETRANSLATE(B249, ""en"", ""zh"")"),"卷轴滚动")</f>
        <v>卷轴滚动</v>
      </c>
      <c r="K249" s="25" t="str">
        <f>IFERROR(__xludf.DUMMYFUNCTION("GOOGLETRANSLATE(B249, ""en"", ""vi"")"),"Cuộn Warding")</f>
        <v>Cuộn Warding</v>
      </c>
      <c r="L249" s="42" t="str">
        <f>IFERROR(__xludf.DUMMYFUNCTION("GOOGLETRANSLATE(B249, ""en"", ""hr"")"),"Pomicanje odjeće")</f>
        <v>Pomicanje odjeće</v>
      </c>
      <c r="M249" s="26"/>
      <c r="N249" s="26"/>
      <c r="O249" s="26"/>
      <c r="P249" s="26"/>
      <c r="Q249" s="26"/>
      <c r="R249" s="26"/>
      <c r="S249" s="26"/>
      <c r="T249" s="26"/>
      <c r="U249" s="26"/>
      <c r="V249" s="26"/>
      <c r="W249" s="26"/>
      <c r="X249" s="26"/>
      <c r="Y249" s="26"/>
      <c r="Z249" s="26"/>
      <c r="AA249" s="26"/>
      <c r="AB249" s="26"/>
    </row>
    <row r="250">
      <c r="A250" s="21" t="s">
        <v>921</v>
      </c>
      <c r="B250" s="22" t="s">
        <v>922</v>
      </c>
      <c r="C250" s="23" t="str">
        <f>IFERROR(__xludf.DUMMYFUNCTION("GOOGLETRANSLATE(B250, ""en"", ""fr"")"),"Enchante toutes les créatures autour de vous. Ces créatures ne subissent aucun dommage la prochaine fois qu'elles seraient endommagées.")</f>
        <v>Enchante toutes les créatures autour de vous. Ces créatures ne subissent aucun dommage la prochaine fois qu'elles seraient endommagées.</v>
      </c>
      <c r="D250" s="23" t="str">
        <f>IFERROR(__xludf.DUMMYFUNCTION("GOOGLETRANSLATE(B250, ""en"", ""es"")"),"Encantan a todas las criaturas a su alrededor. Esas criaturas no reciben daño la próxima vez que se dañen.")</f>
        <v>Encantan a todas las criaturas a su alrededor. Esas criaturas no reciben daño la próxima vez que se dañen.</v>
      </c>
      <c r="E250" s="23" t="str">
        <f>IFERROR(__xludf.DUMMYFUNCTION("GOOGLETRANSLATE(B250, ""en"", ""ru"")"),"Зачал всех существ вокруг себя. Эти существа не получают ущерба в следующий раз, когда они будут повреждены.")</f>
        <v>Зачал всех существ вокруг себя. Эти существа не получают ущерба в следующий раз, когда они будут повреждены.</v>
      </c>
      <c r="F250" s="23" t="str">
        <f>IFERROR(__xludf.DUMMYFUNCTION("GOOGLETRANSLATE(B250, ""en"", ""tr"")"),"Çevrenizdeki tüm yaratıkları büyütür. Bu yaratıklar bir dahaki sefere hasar gördüklerinde zarar görmezler.")</f>
        <v>Çevrenizdeki tüm yaratıkları büyütür. Bu yaratıklar bir dahaki sefere hasar gördüklerinde zarar görmezler.</v>
      </c>
      <c r="G250" s="23" t="str">
        <f>IFERROR(__xludf.DUMMYFUNCTION("GOOGLETRANSLATE(B250, ""en"", ""pt"")"),"Enchants todas as criaturas ao seu redor. Essas criaturas não causam danos na próxima vez que seriam danificadas.")</f>
        <v>Enchants todas as criaturas ao seu redor. Essas criaturas não causam danos na próxima vez que seriam danificadas.</v>
      </c>
      <c r="H250" s="24" t="str">
        <f>IFERROR(__xludf.DUMMYFUNCTION("GOOGLETRANSLATE(B250, ""en"", ""de"")"),"Zauberer alle Kreaturen um sich herum. Diese Kreaturen nehmen beim nächsten Mal keinen Schaden an, wenn sie beschädigt würden.")</f>
        <v>Zauberer alle Kreaturen um sich herum. Diese Kreaturen nehmen beim nächsten Mal keinen Schaden an, wenn sie beschädigt würden.</v>
      </c>
      <c r="I250" s="23" t="str">
        <f>IFERROR(__xludf.DUMMYFUNCTION("GOOGLETRANSLATE(B250, ""en"", ""pl"")"),"Zatrzymuje wszystkie stworzenia wokół siebie. Te stworzenia nie wyrażają żadnych szkód następnym razem, gdy zostaną uszkodzone.")</f>
        <v>Zatrzymuje wszystkie stworzenia wokół siebie. Te stworzenia nie wyrażają żadnych szkód następnym razem, gdy zostaną uszkodzone.</v>
      </c>
      <c r="J250" s="25" t="str">
        <f>IFERROR(__xludf.DUMMYFUNCTION("GOOGLETRANSLATE(B250, ""en"", ""zh"")"),"笼罩着自己周围的所有生物。这些生物下次损坏时不会造成任何损害。")</f>
        <v>笼罩着自己周围的所有生物。这些生物下次损坏时不会造成任何损害。</v>
      </c>
      <c r="K250" s="25" t="str">
        <f>IFERROR(__xludf.DUMMYFUNCTION("GOOGLETRANSLATE(B250, ""en"", ""vi"")"),"Enchants tất cả các sinh vật xung quanh chính bạn. Những sinh vật đó không bị thiệt hại vào lần tới khi chúng bị hư hại.")</f>
        <v>Enchants tất cả các sinh vật xung quanh chính bạn. Những sinh vật đó không bị thiệt hại vào lần tới khi chúng bị hư hại.</v>
      </c>
      <c r="L250" s="42" t="str">
        <f>IFERROR(__xludf.DUMMYFUNCTION("GOOGLETRANSLATE(B250, ""en"", ""hr"")"),"Očaravaju sva stvorenja oko sebe. Ta stvorenja ne nanose štetu sljedeći put kad bi bila oštećena.")</f>
        <v>Očaravaju sva stvorenja oko sebe. Ta stvorenja ne nanose štetu sljedeći put kad bi bila oštećena.</v>
      </c>
      <c r="M250" s="26"/>
      <c r="N250" s="26"/>
      <c r="O250" s="26"/>
      <c r="P250" s="26"/>
      <c r="Q250" s="26"/>
      <c r="R250" s="26"/>
      <c r="S250" s="26"/>
      <c r="T250" s="26"/>
      <c r="U250" s="26"/>
      <c r="V250" s="26"/>
      <c r="W250" s="26"/>
      <c r="X250" s="26"/>
      <c r="Y250" s="26"/>
      <c r="Z250" s="26"/>
      <c r="AA250" s="26"/>
      <c r="AB250" s="26"/>
    </row>
    <row r="251">
      <c r="A251" s="21" t="s">
        <v>923</v>
      </c>
      <c r="B251" s="22" t="s">
        <v>924</v>
      </c>
      <c r="C251" s="23" t="str">
        <f>IFERROR(__xludf.DUMMYFUNCTION("GOOGLETRANSLATE(B251, ""en"", ""fr"")"),"Faire défiler le nettoyage")</f>
        <v>Faire défiler le nettoyage</v>
      </c>
      <c r="D251" s="23" t="str">
        <f>IFERROR(__xludf.DUMMYFUNCTION("GOOGLETRANSLATE(B251, ""en"", ""es"")"),"Desplazamiento de la limpieza")</f>
        <v>Desplazamiento de la limpieza</v>
      </c>
      <c r="E251" s="23" t="str">
        <f>IFERROR(__xludf.DUMMYFUNCTION("GOOGLETRANSLATE(B251, ""en"", ""ru"")"),"Свиток очищения")</f>
        <v>Свиток очищения</v>
      </c>
      <c r="F251" s="23" t="str">
        <f>IFERROR(__xludf.DUMMYFUNCTION("GOOGLETRANSLATE(B251, ""en"", ""tr"")"),"Temizlik kaydırma")</f>
        <v>Temizlik kaydırma</v>
      </c>
      <c r="G251" s="23" t="str">
        <f>IFERROR(__xludf.DUMMYFUNCTION("GOOGLETRANSLATE(B251, ""en"", ""pt"")"),"Rolo de limpeza")</f>
        <v>Rolo de limpeza</v>
      </c>
      <c r="H251" s="24" t="str">
        <f>IFERROR(__xludf.DUMMYFUNCTION("GOOGLETRANSLATE(B251, ""en"", ""de"")"),"Reinigung scrollen")</f>
        <v>Reinigung scrollen</v>
      </c>
      <c r="I251" s="23" t="str">
        <f>IFERROR(__xludf.DUMMYFUNCTION("GOOGLETRANSLATE(B251, ""en"", ""pl"")"),"Zwój oczyszczania")</f>
        <v>Zwój oczyszczania</v>
      </c>
      <c r="J251" s="25" t="str">
        <f>IFERROR(__xludf.DUMMYFUNCTION("GOOGLETRANSLATE(B251, ""en"", ""zh"")"),"清洁滚动")</f>
        <v>清洁滚动</v>
      </c>
      <c r="K251" s="25" t="str">
        <f>IFERROR(__xludf.DUMMYFUNCTION("GOOGLETRANSLATE(B251, ""en"", ""vi"")"),"Cuộn làm sạch")</f>
        <v>Cuộn làm sạch</v>
      </c>
      <c r="L251" s="42" t="str">
        <f>IFERROR(__xludf.DUMMYFUNCTION("GOOGLETRANSLATE(B251, ""en"", ""hr"")"),"Pomicanje čišćenja")</f>
        <v>Pomicanje čišćenja</v>
      </c>
      <c r="M251" s="26"/>
      <c r="N251" s="26"/>
      <c r="O251" s="26"/>
      <c r="P251" s="26"/>
      <c r="Q251" s="26"/>
      <c r="R251" s="26"/>
      <c r="S251" s="26"/>
      <c r="T251" s="26"/>
      <c r="U251" s="26"/>
      <c r="V251" s="26"/>
      <c r="W251" s="26"/>
      <c r="X251" s="26"/>
      <c r="Y251" s="26"/>
      <c r="Z251" s="26"/>
      <c r="AA251" s="26"/>
      <c r="AB251" s="26"/>
    </row>
    <row r="252">
      <c r="A252" s="21" t="s">
        <v>925</v>
      </c>
      <c r="B252" s="22" t="s">
        <v>926</v>
      </c>
      <c r="C252" s="23" t="str">
        <f>IFERROR(__xludf.DUMMYFUNCTION("GOOGLETRANSLATE(B252, ""en"", ""fr"")"),"Supprime les malédictions sur toutes les créatures autour de vous. Guérisse pour chaque malédiction retirée.")</f>
        <v>Supprime les malédictions sur toutes les créatures autour de vous. Guérisse pour chaque malédiction retirée.</v>
      </c>
      <c r="D252" s="23" t="str">
        <f>IFERROR(__xludf.DUMMYFUNCTION("GOOGLETRANSLATE(B252, ""en"", ""es"")"),"Elimina maldiciones sobre todas las criaturas a su alrededor. Sura para cada maldición eliminada.")</f>
        <v>Elimina maldiciones sobre todas las criaturas a su alrededor. Sura para cada maldición eliminada.</v>
      </c>
      <c r="E252" s="23" t="str">
        <f>IFERROR(__xludf.DUMMYFUNCTION("GOOGLETRANSLATE(B252, ""en"", ""ru"")"),"Удаляет проклятия на всех существах вокруг себя. Исцеляется для каждого удаленного проклятия.")</f>
        <v>Удаляет проклятия на всех существах вокруг себя. Исцеляется для каждого удаленного проклятия.</v>
      </c>
      <c r="F252" s="23" t="str">
        <f>IFERROR(__xludf.DUMMYFUNCTION("GOOGLETRANSLATE(B252, ""en"", ""tr"")"),"Çevrenizdeki tüm yaratıklar üzerindeki lanetleri kaldırır. Her lanet için iyileştirmeler kaldırıldı.")</f>
        <v>Çevrenizdeki tüm yaratıklar üzerindeki lanetleri kaldırır. Her lanet için iyileştirmeler kaldırıldı.</v>
      </c>
      <c r="G252" s="23" t="str">
        <f>IFERROR(__xludf.DUMMYFUNCTION("GOOGLETRANSLATE(B252, ""en"", ""pt"")"),"Remove as maldições de todas as criaturas ao seu redor. Cura para cada maldição removida.")</f>
        <v>Remove as maldições de todas as criaturas ao seu redor. Cura para cada maldição removida.</v>
      </c>
      <c r="H252" s="24" t="str">
        <f>IFERROR(__xludf.DUMMYFUNCTION("GOOGLETRANSLATE(B252, ""en"", ""de"")"),"Entfernt Flüche auf alle Kreaturen um sich herum. Heilungen für jeden Fluch entfernt.")</f>
        <v>Entfernt Flüche auf alle Kreaturen um sich herum. Heilungen für jeden Fluch entfernt.</v>
      </c>
      <c r="I252" s="23" t="str">
        <f>IFERROR(__xludf.DUMMYFUNCTION("GOOGLETRANSLATE(B252, ""en"", ""pl"")"),"Usuwa przekleństwa wszystkich stworzeń wokół siebie. Ulecza się dla każdej usuniętej klątwy.")</f>
        <v>Usuwa przekleństwa wszystkich stworzeń wokół siebie. Ulecza się dla każdej usuniętej klątwy.</v>
      </c>
      <c r="J252" s="25" t="str">
        <f>IFERROR(__xludf.DUMMYFUNCTION("GOOGLETRANSLATE(B252, ""en"", ""zh"")"),"消除周围所有生物的诅咒。消除了每个诅咒的治愈。")</f>
        <v>消除周围所有生物的诅咒。消除了每个诅咒的治愈。</v>
      </c>
      <c r="K252" s="25" t="str">
        <f>IFERROR(__xludf.DUMMYFUNCTION("GOOGLETRANSLATE(B252, ""en"", ""vi"")"),"Loại bỏ những lời nguyền trên tất cả các sinh vật xung quanh chính bạn. Chữa lành cho mỗi lời nguyền được loại bỏ.")</f>
        <v>Loại bỏ những lời nguyền trên tất cả các sinh vật xung quanh chính bạn. Chữa lành cho mỗi lời nguyền được loại bỏ.</v>
      </c>
      <c r="L252" s="42" t="str">
        <f>IFERROR(__xludf.DUMMYFUNCTION("GOOGLETRANSLATE(B252, ""en"", ""hr"")"),"Uklanja psovke na sva stvorenja oko sebe. Liječi za svako uklonjeno prokletstvo.")</f>
        <v>Uklanja psovke na sva stvorenja oko sebe. Liječi za svako uklonjeno prokletstvo.</v>
      </c>
      <c r="M252" s="26"/>
      <c r="N252" s="26"/>
      <c r="O252" s="26"/>
      <c r="P252" s="26"/>
      <c r="Q252" s="26"/>
      <c r="R252" s="26"/>
      <c r="S252" s="26"/>
      <c r="T252" s="26"/>
      <c r="U252" s="26"/>
      <c r="V252" s="26"/>
      <c r="W252" s="26"/>
      <c r="X252" s="26"/>
      <c r="Y252" s="26"/>
      <c r="Z252" s="26"/>
      <c r="AA252" s="26"/>
      <c r="AB252" s="26"/>
    </row>
    <row r="253">
      <c r="A253" s="21" t="s">
        <v>927</v>
      </c>
      <c r="B253" s="22" t="s">
        <v>928</v>
      </c>
      <c r="C253" s="23" t="str">
        <f>IFERROR(__xludf.DUMMYFUNCTION("GOOGLETRANSLATE(B253, ""en"", ""fr"")"),"Faire défiler Pacify")</f>
        <v>Faire défiler Pacify</v>
      </c>
      <c r="D253" s="23" t="str">
        <f>IFERROR(__xludf.DUMMYFUNCTION("GOOGLETRANSLATE(B253, ""en"", ""es"")"),"Desplazarse")</f>
        <v>Desplazarse</v>
      </c>
      <c r="E253" s="23" t="str">
        <f>IFERROR(__xludf.DUMMYFUNCTION("GOOGLETRANSLATE(B253, ""en"", ""ru"")"),"Свитка умиротворения")</f>
        <v>Свитка умиротворения</v>
      </c>
      <c r="F253" s="23" t="str">
        <f>IFERROR(__xludf.DUMMYFUNCTION("GOOGLETRANSLATE(B253, ""en"", ""tr"")"),"Painify'ın kaydırılması")</f>
        <v>Painify'ın kaydırılması</v>
      </c>
      <c r="G253" s="23" t="str">
        <f>IFERROR(__xludf.DUMMYFUNCTION("GOOGLETRANSLATE(B253, ""en"", ""pt"")"),"Role do Pacify")</f>
        <v>Role do Pacify</v>
      </c>
      <c r="H253" s="24" t="str">
        <f>IFERROR(__xludf.DUMMYFUNCTION("GOOGLETRANSLATE(B253, ""en"", ""de"")"),"Schriftrolle der Bedenken")</f>
        <v>Schriftrolle der Bedenken</v>
      </c>
      <c r="I253" s="23" t="str">
        <f>IFERROR(__xludf.DUMMYFUNCTION("GOOGLETRANSLATE(B253, ""en"", ""pl"")"),"Zwój Pacify")</f>
        <v>Zwój Pacify</v>
      </c>
      <c r="J253" s="25" t="str">
        <f>IFERROR(__xludf.DUMMYFUNCTION("GOOGLETRANSLATE(B253, ""en"", ""zh"")"),"安装的滚动")</f>
        <v>安装的滚动</v>
      </c>
      <c r="K253" s="25" t="str">
        <f>IFERROR(__xludf.DUMMYFUNCTION("GOOGLETRANSLATE(B253, ""en"", ""vi"")"),"Cuộn bình định")</f>
        <v>Cuộn bình định</v>
      </c>
      <c r="L253" s="42" t="str">
        <f>IFERROR(__xludf.DUMMYFUNCTION("GOOGLETRANSLATE(B253, ""en"", ""hr"")"),"Pomicanje pahify")</f>
        <v>Pomicanje pahify</v>
      </c>
      <c r="M253" s="26"/>
      <c r="N253" s="26"/>
      <c r="O253" s="26"/>
      <c r="P253" s="26"/>
      <c r="Q253" s="26"/>
      <c r="R253" s="26"/>
      <c r="S253" s="26"/>
      <c r="T253" s="26"/>
      <c r="U253" s="26"/>
      <c r="V253" s="26"/>
      <c r="W253" s="26"/>
      <c r="X253" s="26"/>
      <c r="Y253" s="26"/>
      <c r="Z253" s="26"/>
      <c r="AA253" s="26"/>
      <c r="AB253" s="26"/>
    </row>
    <row r="254">
      <c r="A254" s="21" t="s">
        <v>929</v>
      </c>
      <c r="B254" s="22" t="s">
        <v>930</v>
      </c>
      <c r="C254" s="23" t="str">
        <f>IFERROR(__xludf.DUMMYFUNCTION("GOOGLETRANSLATE(B254, ""en"", ""fr"")"),"Maudit la cible. Pendant une courte durée, la cible ne peut pas attaquer.")</f>
        <v>Maudit la cible. Pendant une courte durée, la cible ne peut pas attaquer.</v>
      </c>
      <c r="D254" s="23" t="str">
        <f>IFERROR(__xludf.DUMMYFUNCTION("GOOGLETRANSLATE(B254, ""en"", ""es"")"),"Maldice el objetivo. Por una corta duración, el objetivo no puede atacar.")</f>
        <v>Maldice el objetivo. Por una corta duración, el objetivo no puede atacar.</v>
      </c>
      <c r="E254" s="23" t="str">
        <f>IFERROR(__xludf.DUMMYFUNCTION("GOOGLETRANSLATE(B254, ""en"", ""ru"")"),"Проклинает цель. В течение короткого времени цель не может атаковать.")</f>
        <v>Проклинает цель. В течение короткого времени цель не может атаковать.</v>
      </c>
      <c r="F254" s="23" t="str">
        <f>IFERROR(__xludf.DUMMYFUNCTION("GOOGLETRANSLATE(B254, ""en"", ""tr"")"),"Hedefi lanetler. Kısa bir süre için hedef saldıramaz.")</f>
        <v>Hedefi lanetler. Kısa bir süre için hedef saldıramaz.</v>
      </c>
      <c r="G254" s="23" t="str">
        <f>IFERROR(__xludf.DUMMYFUNCTION("GOOGLETRANSLATE(B254, ""en"", ""pt"")"),"Amaldiçoa o alvo. Por uma curta duração, o alvo não pode atacar.")</f>
        <v>Amaldiçoa o alvo. Por uma curta duração, o alvo não pode atacar.</v>
      </c>
      <c r="H254" s="24" t="str">
        <f>IFERROR(__xludf.DUMMYFUNCTION("GOOGLETRANSLATE(B254, ""en"", ""de"")"),"Verflucht das Ziel. Für eine kurze Dauer kann das Ziel nicht angreifen.")</f>
        <v>Verflucht das Ziel. Für eine kurze Dauer kann das Ziel nicht angreifen.</v>
      </c>
      <c r="I254" s="23" t="str">
        <f>IFERROR(__xludf.DUMMYFUNCTION("GOOGLETRANSLATE(B254, ""en"", ""pl"")"),"Przeklina cel. Przez krótki czas cel nie może zaatakować.")</f>
        <v>Przeklina cel. Przez krótki czas cel nie może zaatakować.</v>
      </c>
      <c r="J254" s="25" t="str">
        <f>IFERROR(__xludf.DUMMYFUNCTION("GOOGLETRANSLATE(B254, ""en"", ""zh"")"),"诅咒目标。在短时间内，目标无法攻击。")</f>
        <v>诅咒目标。在短时间内，目标无法攻击。</v>
      </c>
      <c r="K254" s="25" t="str">
        <f>IFERROR(__xludf.DUMMYFUNCTION("GOOGLETRANSLATE(B254, ""en"", ""vi"")"),"Nguyền rủa mục tiêu. Trong một thời gian ngắn, mục tiêu không thể tấn công.")</f>
        <v>Nguyền rủa mục tiêu. Trong một thời gian ngắn, mục tiêu không thể tấn công.</v>
      </c>
      <c r="L254" s="42" t="str">
        <f>IFERROR(__xludf.DUMMYFUNCTION("GOOGLETRANSLATE(B254, ""en"", ""hr"")"),"Prokletstvo cilja. Kratko trajanje meta ne može napasti.")</f>
        <v>Prokletstvo cilja. Kratko trajanje meta ne može napasti.</v>
      </c>
      <c r="M254" s="26"/>
      <c r="N254" s="26"/>
      <c r="O254" s="26"/>
      <c r="P254" s="26"/>
      <c r="Q254" s="26"/>
      <c r="R254" s="26"/>
      <c r="S254" s="26"/>
      <c r="T254" s="26"/>
      <c r="U254" s="26"/>
      <c r="V254" s="26"/>
      <c r="W254" s="26"/>
      <c r="X254" s="26"/>
      <c r="Y254" s="26"/>
      <c r="Z254" s="26"/>
      <c r="AA254" s="26"/>
      <c r="AB254" s="26"/>
    </row>
    <row r="255">
      <c r="A255" s="21" t="s">
        <v>931</v>
      </c>
      <c r="B255" s="22" t="s">
        <v>932</v>
      </c>
      <c r="C255" s="23" t="str">
        <f>IFERROR(__xludf.DUMMYFUNCTION("GOOGLETRANSLATE(B255, ""en"", ""fr"")"),"Faire défiler le vent arrière")</f>
        <v>Faire défiler le vent arrière</v>
      </c>
      <c r="D255" s="23" t="str">
        <f>IFERROR(__xludf.DUMMYFUNCTION("GOOGLETRANSLATE(B255, ""en"", ""es"")"),"Desplazamiento de viento de cola")</f>
        <v>Desplazamiento de viento de cola</v>
      </c>
      <c r="E255" s="23" t="str">
        <f>IFERROR(__xludf.DUMMYFUNCTION("GOOGLETRANSLATE(B255, ""en"", ""ru"")"),"Свиток Tailwind")</f>
        <v>Свиток Tailwind</v>
      </c>
      <c r="F255" s="23" t="str">
        <f>IFERROR(__xludf.DUMMYFUNCTION("GOOGLETRANSLATE(B255, ""en"", ""tr"")"),"Tailwind kaydırma")</f>
        <v>Tailwind kaydırma</v>
      </c>
      <c r="G255" s="23" t="str">
        <f>IFERROR(__xludf.DUMMYFUNCTION("GOOGLETRANSLATE(B255, ""en"", ""pt"")"),"Rolo de Tailwind")</f>
        <v>Rolo de Tailwind</v>
      </c>
      <c r="H255" s="24" t="str">
        <f>IFERROR(__xludf.DUMMYFUNCTION("GOOGLETRANSLATE(B255, ""en"", ""de"")"),"Rückenwind scrollen")</f>
        <v>Rückenwind scrollen</v>
      </c>
      <c r="I255" s="23" t="str">
        <f>IFERROR(__xludf.DUMMYFUNCTION("GOOGLETRANSLATE(B255, ""en"", ""pl"")"),"Zwoju Wiatru Taild")</f>
        <v>Zwoju Wiatru Taild</v>
      </c>
      <c r="J255" s="25" t="str">
        <f>IFERROR(__xludf.DUMMYFUNCTION("GOOGLETRANSLATE(B255, ""en"", ""zh"")"),"滚动滚动")</f>
        <v>滚动滚动</v>
      </c>
      <c r="K255" s="25" t="str">
        <f>IFERROR(__xludf.DUMMYFUNCTION("GOOGLETRANSLATE(B255, ""en"", ""vi"")"),"Cuộn đuôi")</f>
        <v>Cuộn đuôi</v>
      </c>
      <c r="L255" s="42" t="str">
        <f>IFERROR(__xludf.DUMMYFUNCTION("GOOGLETRANSLATE(B255, ""en"", ""hr"")"),"Pomicanje repnog vjetra")</f>
        <v>Pomicanje repnog vjetra</v>
      </c>
      <c r="M255" s="26"/>
      <c r="N255" s="26"/>
      <c r="O255" s="26"/>
      <c r="P255" s="26"/>
      <c r="Q255" s="26"/>
      <c r="R255" s="26"/>
      <c r="S255" s="26"/>
      <c r="T255" s="26"/>
      <c r="U255" s="26"/>
      <c r="V255" s="26"/>
      <c r="W255" s="26"/>
      <c r="X255" s="26"/>
      <c r="Y255" s="26"/>
      <c r="Z255" s="26"/>
      <c r="AA255" s="26"/>
      <c r="AB255" s="26"/>
    </row>
    <row r="256">
      <c r="A256" s="21" t="s">
        <v>933</v>
      </c>
      <c r="B256" s="22" t="s">
        <v>934</v>
      </c>
      <c r="C256" s="23" t="str">
        <f>IFERROR(__xludf.DUMMYFUNCTION("GOOGLETRANSLATE(B256, ""en"", ""fr"")"),"Crée un vent qui vous souffle vers l'avant.")</f>
        <v>Crée un vent qui vous souffle vers l'avant.</v>
      </c>
      <c r="D256" s="23" t="str">
        <f>IFERROR(__xludf.DUMMYFUNCTION("GOOGLETRANSLATE(B256, ""en"", ""es"")"),"Crea viento que te sopla hacia adelante.")</f>
        <v>Crea viento que te sopla hacia adelante.</v>
      </c>
      <c r="E256" s="23" t="str">
        <f>IFERROR(__xludf.DUMMYFUNCTION("GOOGLETRANSLATE(B256, ""en"", ""ru"")"),"Создает ветер, который вас поражает.")</f>
        <v>Создает ветер, который вас поражает.</v>
      </c>
      <c r="F256" s="23" t="str">
        <f>IFERROR(__xludf.DUMMYFUNCTION("GOOGLETRANSLATE(B256, ""en"", ""tr"")"),"Sizi ileriye doğru uçuran rüzgar oluşturur.")</f>
        <v>Sizi ileriye doğru uçuran rüzgar oluşturur.</v>
      </c>
      <c r="G256" s="23" t="str">
        <f>IFERROR(__xludf.DUMMYFUNCTION("GOOGLETRANSLATE(B256, ""en"", ""pt"")"),"Cria o vento que o surpreende.")</f>
        <v>Cria o vento que o surpreende.</v>
      </c>
      <c r="H256" s="24" t="str">
        <f>IFERROR(__xludf.DUMMYFUNCTION("GOOGLETRANSLATE(B256, ""en"", ""de"")"),"Erstellt Wind, der dich nach vorne bläst.")</f>
        <v>Erstellt Wind, der dich nach vorne bläst.</v>
      </c>
      <c r="I256" s="23" t="str">
        <f>IFERROR(__xludf.DUMMYFUNCTION("GOOGLETRANSLATE(B256, ""en"", ""pl"")"),"Tworzy wiatr, który cię wieje do przodu.")</f>
        <v>Tworzy wiatr, który cię wieje do przodu.</v>
      </c>
      <c r="J256" s="25" t="str">
        <f>IFERROR(__xludf.DUMMYFUNCTION("GOOGLETRANSLATE(B256, ""en"", ""zh"")"),"创造风，使您前进。")</f>
        <v>创造风，使您前进。</v>
      </c>
      <c r="K256" s="25" t="str">
        <f>IFERROR(__xludf.DUMMYFUNCTION("GOOGLETRANSLATE(B256, ""en"", ""vi"")"),"Tạo gió thổi bạn về phía trước.")</f>
        <v>Tạo gió thổi bạn về phía trước.</v>
      </c>
      <c r="L256" s="42" t="str">
        <f>IFERROR(__xludf.DUMMYFUNCTION("GOOGLETRANSLATE(B256, ""en"", ""hr"")"),"Stvara vjetar koji vas puše naprijed.")</f>
        <v>Stvara vjetar koji vas puše naprijed.</v>
      </c>
      <c r="M256" s="26"/>
      <c r="N256" s="26"/>
      <c r="O256" s="26"/>
      <c r="P256" s="26"/>
      <c r="Q256" s="26"/>
      <c r="R256" s="26"/>
      <c r="S256" s="26"/>
      <c r="T256" s="26"/>
      <c r="U256" s="26"/>
      <c r="V256" s="26"/>
      <c r="W256" s="26"/>
      <c r="X256" s="26"/>
      <c r="Y256" s="26"/>
      <c r="Z256" s="26"/>
      <c r="AA256" s="26"/>
      <c r="AB256" s="26"/>
    </row>
    <row r="257">
      <c r="A257" s="21" t="s">
        <v>935</v>
      </c>
      <c r="B257" s="22" t="s">
        <v>936</v>
      </c>
      <c r="C257" s="23" t="str">
        <f>IFERROR(__xludf.DUMMYFUNCTION("GOOGLETRANSLATE(B257, ""en"", ""fr"")"),"Défilement de réanimation")</f>
        <v>Défilement de réanimation</v>
      </c>
      <c r="D257" s="23" t="str">
        <f>IFERROR(__xludf.DUMMYFUNCTION("GOOGLETRANSLATE(B257, ""en"", ""es"")"),"Desplazamiento de reanimación")</f>
        <v>Desplazamiento de reanimación</v>
      </c>
      <c r="E257" s="23" t="str">
        <f>IFERROR(__xludf.DUMMYFUNCTION("GOOGLETRANSLATE(B257, ""en"", ""ru"")"),"Свиток реанации")</f>
        <v>Свиток реанации</v>
      </c>
      <c r="F257" s="23" t="str">
        <f>IFERROR(__xludf.DUMMYFUNCTION("GOOGLETRANSLATE(B257, ""en"", ""tr"")"),"Reanimation'ın kaydırma")</f>
        <v>Reanimation'ın kaydırma</v>
      </c>
      <c r="G257" s="23" t="str">
        <f>IFERROR(__xludf.DUMMYFUNCTION("GOOGLETRANSLATE(B257, ""en"", ""pt"")"),"Pergaminho da reanimação")</f>
        <v>Pergaminho da reanimação</v>
      </c>
      <c r="H257" s="24" t="str">
        <f>IFERROR(__xludf.DUMMYFUNCTION("GOOGLETRANSLATE(B257, ""en"", ""de"")"),"Reanimation scrollen")</f>
        <v>Reanimation scrollen</v>
      </c>
      <c r="I257" s="23" t="str">
        <f>IFERROR(__xludf.DUMMYFUNCTION("GOOGLETRANSLATE(B257, ""en"", ""pl"")"),"Zwój reanimacji")</f>
        <v>Zwój reanimacji</v>
      </c>
      <c r="J257" s="25" t="str">
        <f>IFERROR(__xludf.DUMMYFUNCTION("GOOGLETRANSLATE(B257, ""en"", ""zh"")"),"复活的滚动")</f>
        <v>复活的滚动</v>
      </c>
      <c r="K257" s="25" t="str">
        <f>IFERROR(__xludf.DUMMYFUNCTION("GOOGLETRANSLATE(B257, ""en"", ""vi"")"),"Cuộn reanimation")</f>
        <v>Cuộn reanimation</v>
      </c>
      <c r="L257" s="42" t="str">
        <f>IFERROR(__xludf.DUMMYFUNCTION("GOOGLETRANSLATE(B257, ""en"", ""hr"")"),"Pomicanje reanimacije")</f>
        <v>Pomicanje reanimacije</v>
      </c>
      <c r="M257" s="26"/>
      <c r="N257" s="26"/>
      <c r="O257" s="26"/>
      <c r="P257" s="26"/>
      <c r="Q257" s="26"/>
      <c r="R257" s="26"/>
      <c r="S257" s="26"/>
      <c r="T257" s="26"/>
      <c r="U257" s="26"/>
      <c r="V257" s="26"/>
      <c r="W257" s="26"/>
      <c r="X257" s="26"/>
      <c r="Y257" s="26"/>
      <c r="Z257" s="26"/>
      <c r="AA257" s="26"/>
      <c r="AB257" s="26"/>
    </row>
    <row r="258">
      <c r="A258" s="21" t="s">
        <v>937</v>
      </c>
      <c r="B258" s="22" t="s">
        <v>938</v>
      </c>
      <c r="C258" s="23" t="str">
        <f>IFERROR(__xludf.DUMMYFUNCTION("GOOGLETRANSLATE(B258, ""en"", ""fr"")"),"Élève tous les cadavres autour de vous en tant que serviteurs du type de créature qu'ils étaient avant leur mort qui vous serviront.")</f>
        <v>Élève tous les cadavres autour de vous en tant que serviteurs du type de créature qu'ils étaient avant leur mort qui vous serviront.</v>
      </c>
      <c r="D258" s="23" t="str">
        <f>IFERROR(__xludf.DUMMYFUNCTION("GOOGLETRANSLATE(B258, ""en"", ""es"")"),"Plantea todos los cadáveres a su alrededor como secuaces del tipo de criatura que eran antes de morir que te servirán.")</f>
        <v>Plantea todos los cadáveres a su alrededor como secuaces del tipo de criatura que eran antes de morir que te servirán.</v>
      </c>
      <c r="E258" s="23" t="str">
        <f>IFERROR(__xludf.DUMMYFUNCTION("GOOGLETRANSLATE(B258, ""en"", ""ru"")"),"Поднимает все трупы вокруг себя как миньонов того типа существа, которым они были до их смерти, которые будут служить вам.")</f>
        <v>Поднимает все трупы вокруг себя как миньонов того типа существа, которым они были до их смерти, которые будут служить вам.</v>
      </c>
      <c r="F258" s="23" t="str">
        <f>IFERROR(__xludf.DUMMYFUNCTION("GOOGLETRANSLATE(B258, ""en"", ""tr"")"),"Size hizmet edecek olan yaratık türünün minyonları olarak etrafınızdaki tüm cesetleri yükseltir.")</f>
        <v>Size hizmet edecek olan yaratık türünün minyonları olarak etrafınızdaki tüm cesetleri yükseltir.</v>
      </c>
      <c r="G258" s="23" t="str">
        <f>IFERROR(__xludf.DUMMYFUNCTION("GOOGLETRANSLATE(B258, ""en"", ""pt"")"),"Aumenta todos os cadáveres em torno de si como lacaios do tipo de criatura que eram antes de morrerem que o atenderão.")</f>
        <v>Aumenta todos os cadáveres em torno de si como lacaios do tipo de criatura que eram antes de morrerem que o atenderão.</v>
      </c>
      <c r="H258" s="24" t="str">
        <f>IFERROR(__xludf.DUMMYFUNCTION("GOOGLETRANSLATE(B258, ""en"", ""de"")"),"Erhöht alle Leichen um sich herum als Schergen der Art von Kreatur, die sie vor ihrem Tod waren, die Ihnen dienen werden.")</f>
        <v>Erhöht alle Leichen um sich herum als Schergen der Art von Kreatur, die sie vor ihrem Tod waren, die Ihnen dienen werden.</v>
      </c>
      <c r="I258" s="23" t="str">
        <f>IFERROR(__xludf.DUMMYFUNCTION("GOOGLETRANSLATE(B258, ""en"", ""pl"")"),"Podnosi wszystkie zwłoki wokół siebie jako stwory rodzaju stworzenia, którym byli przed śmiercią, które ci służy.")</f>
        <v>Podnosi wszystkie zwłoki wokół siebie jako stwory rodzaju stworzenia, którym byli przed śmiercią, które ci służy.</v>
      </c>
      <c r="J258" s="25" t="str">
        <f>IFERROR(__xludf.DUMMYFUNCTION("GOOGLETRANSLATE(B258, ""en"", ""zh"")"),"将自己周围的所有尸体饲养，因为他们死后是为您服务的那种生物类型。")</f>
        <v>将自己周围的所有尸体饲养，因为他们死后是为您服务的那种生物类型。</v>
      </c>
      <c r="K258" s="25" t="str">
        <f>IFERROR(__xludf.DUMMYFUNCTION("GOOGLETRANSLATE(B258, ""en"", ""vi"")"),"Nâng cao tất cả các xác chết xung quanh chính bạn như một tay sai của loại sinh vật mà chúng có trước khi chúng chết sẽ phục vụ bạn.")</f>
        <v>Nâng cao tất cả các xác chết xung quanh chính bạn như một tay sai của loại sinh vật mà chúng có trước khi chúng chết sẽ phục vụ bạn.</v>
      </c>
      <c r="L258" s="42" t="str">
        <f>IFERROR(__xludf.DUMMYFUNCTION("GOOGLETRANSLATE(B258, ""en"", ""hr"")"),"Podiže sve leševe oko sebe kao minioni tipa stvorenja kakva su bili prije nego što su umrli, što će vam služiti.")</f>
        <v>Podiže sve leševe oko sebe kao minioni tipa stvorenja kakva su bili prije nego što su umrli, što će vam služiti.</v>
      </c>
      <c r="M258" s="26"/>
      <c r="N258" s="26"/>
      <c r="O258" s="26"/>
      <c r="P258" s="26"/>
      <c r="Q258" s="26"/>
      <c r="R258" s="26"/>
      <c r="S258" s="26"/>
      <c r="T258" s="26"/>
      <c r="U258" s="26"/>
      <c r="V258" s="26"/>
      <c r="W258" s="26"/>
      <c r="X258" s="26"/>
      <c r="Y258" s="26"/>
      <c r="Z258" s="26"/>
      <c r="AA258" s="26"/>
      <c r="AB258" s="26"/>
    </row>
    <row r="259">
      <c r="A259" s="21" t="s">
        <v>939</v>
      </c>
      <c r="B259" s="22" t="s">
        <v>940</v>
      </c>
      <c r="C259" s="23" t="str">
        <f>IFERROR(__xludf.DUMMYFUNCTION("GOOGLETRANSLATE(B259, ""en"", ""fr"")"),"Faire défiler la consommation")</f>
        <v>Faire défiler la consommation</v>
      </c>
      <c r="D259" s="23" t="str">
        <f>IFERROR(__xludf.DUMMYFUNCTION("GOOGLETRANSLATE(B259, ""en"", ""es"")"),"Desplazamiento de consumo")</f>
        <v>Desplazamiento de consumo</v>
      </c>
      <c r="E259" s="23" t="str">
        <f>IFERROR(__xludf.DUMMYFUNCTION("GOOGLETRANSLATE(B259, ""en"", ""ru"")"),"Свитка потребления")</f>
        <v>Свитка потребления</v>
      </c>
      <c r="F259" s="23" t="str">
        <f>IFERROR(__xludf.DUMMYFUNCTION("GOOGLETRANSLATE(B259, ""en"", ""tr"")"),"Tüketme kaydırma")</f>
        <v>Tüketme kaydırma</v>
      </c>
      <c r="G259" s="23" t="str">
        <f>IFERROR(__xludf.DUMMYFUNCTION("GOOGLETRANSLATE(B259, ""en"", ""pt"")"),"Rolo de consumo")</f>
        <v>Rolo de consumo</v>
      </c>
      <c r="H259" s="24" t="str">
        <f>IFERROR(__xludf.DUMMYFUNCTION("GOOGLETRANSLATE(B259, ""en"", ""de"")"),"Konsumrolle")</f>
        <v>Konsumrolle</v>
      </c>
      <c r="I259" s="23" t="str">
        <f>IFERROR(__xludf.DUMMYFUNCTION("GOOGLETRANSLATE(B259, ""en"", ""pl"")"),"Zwój Consume")</f>
        <v>Zwój Consume</v>
      </c>
      <c r="J259" s="25" t="str">
        <f>IFERROR(__xludf.DUMMYFUNCTION("GOOGLETRANSLATE(B259, ""en"", ""zh"")"),"消费卷轴")</f>
        <v>消费卷轴</v>
      </c>
      <c r="K259" s="25" t="str">
        <f>IFERROR(__xludf.DUMMYFUNCTION("GOOGLETRANSLATE(B259, ""en"", ""vi"")"),"Cuộn tiêu thụ")</f>
        <v>Cuộn tiêu thụ</v>
      </c>
      <c r="L259" s="42" t="str">
        <f>IFERROR(__xludf.DUMMYFUNCTION("GOOGLETRANSLATE(B259, ""en"", ""hr"")"),"Pomicanje konzumacije")</f>
        <v>Pomicanje konzumacije</v>
      </c>
      <c r="M259" s="26"/>
      <c r="N259" s="26"/>
      <c r="O259" s="26"/>
      <c r="P259" s="26"/>
      <c r="Q259" s="26"/>
      <c r="R259" s="26"/>
      <c r="S259" s="26"/>
      <c r="T259" s="26"/>
      <c r="U259" s="26"/>
      <c r="V259" s="26"/>
      <c r="W259" s="26"/>
      <c r="X259" s="26"/>
      <c r="Y259" s="26"/>
      <c r="Z259" s="26"/>
      <c r="AA259" s="26"/>
      <c r="AB259" s="26"/>
    </row>
    <row r="260">
      <c r="A260" s="21" t="s">
        <v>941</v>
      </c>
      <c r="B260" s="22" t="s">
        <v>942</v>
      </c>
      <c r="C260" s="23" t="str">
        <f>IFERROR(__xludf.DUMMYFUNCTION("GOOGLETRANSLATE(B260, ""en"", ""fr"")"),"Détruisez un serviteur que vous contrôlez dans la direction cible pour vous guérir.")</f>
        <v>Détruisez un serviteur que vous contrôlez dans la direction cible pour vous guérir.</v>
      </c>
      <c r="D260" s="23" t="str">
        <f>IFERROR(__xludf.DUMMYFUNCTION("GOOGLETRANSLATE(B260, ""en"", ""es"")"),"Destruye un minion que controles en la dirección objetivo para sanarte.")</f>
        <v>Destruye un minion que controles en la dirección objetivo para sanarte.</v>
      </c>
      <c r="E260" s="23" t="str">
        <f>IFERROR(__xludf.DUMMYFUNCTION("GOOGLETRANSLATE(B260, ""en"", ""ru"")"),"Уничтожьте миньона, которого вы контролируете в направлении цели, чтобы исцелить себя.")</f>
        <v>Уничтожьте миньона, которого вы контролируете в направлении цели, чтобы исцелить себя.</v>
      </c>
      <c r="F260" s="23" t="str">
        <f>IFERROR(__xludf.DUMMYFUNCTION("GOOGLETRANSLATE(B260, ""en"", ""tr"")"),"Kendinizi iyileştirmek için hedef yönde kontrol ettiğiniz bir minyonu yok edin.")</f>
        <v>Kendinizi iyileştirmek için hedef yönde kontrol ettiğiniz bir minyonu yok edin.</v>
      </c>
      <c r="G260" s="23" t="str">
        <f>IFERROR(__xludf.DUMMYFUNCTION("GOOGLETRANSLATE(B260, ""en"", ""pt"")"),"Destrua um lacaio que você controla na direção alvo para se curar.")</f>
        <v>Destrua um lacaio que você controla na direção alvo para se curar.</v>
      </c>
      <c r="H260" s="24" t="str">
        <f>IFERROR(__xludf.DUMMYFUNCTION("GOOGLETRANSLATE(B260, ""en"", ""de"")"),"Zerstöre einen Diener, den du in die Zielrichtung kontrollierst, um dich selbst zu heilen.")</f>
        <v>Zerstöre einen Diener, den du in die Zielrichtung kontrollierst, um dich selbst zu heilen.</v>
      </c>
      <c r="I260" s="23" t="str">
        <f>IFERROR(__xludf.DUMMYFUNCTION("GOOGLETRANSLATE(B260, ""en"", ""pl"")"),"Zniszcz stwora, który kontrolujesz w kierunku docelowym, aby się wyleczyć.")</f>
        <v>Zniszcz stwora, który kontrolujesz w kierunku docelowym, aby się wyleczyć.</v>
      </c>
      <c r="J260" s="25" t="str">
        <f>IFERROR(__xludf.DUMMYFUNCTION("GOOGLETRANSLATE(B260, ""en"", ""zh"")"),"销毁您在目标方向控制自己的小兵。")</f>
        <v>销毁您在目标方向控制自己的小兵。</v>
      </c>
      <c r="K260" s="25" t="str">
        <f>IFERROR(__xludf.DUMMYFUNCTION("GOOGLETRANSLATE(B260, ""en"", ""vi"")"),"Phá hủy một Minion mà bạn kiểm soát theo hướng mục tiêu để tự chữa lành.")</f>
        <v>Phá hủy một Minion mà bạn kiểm soát theo hướng mục tiêu để tự chữa lành.</v>
      </c>
      <c r="L260" s="42" t="str">
        <f>IFERROR(__xludf.DUMMYFUNCTION("GOOGLETRANSLATE(B260, ""en"", ""hr"")"),"Uništite minion koji kontrolirate u ciljanom smjeru kako biste se izliječili.")</f>
        <v>Uništite minion koji kontrolirate u ciljanom smjeru kako biste se izliječili.</v>
      </c>
      <c r="M260" s="26"/>
      <c r="N260" s="26"/>
      <c r="O260" s="26"/>
      <c r="P260" s="26"/>
      <c r="Q260" s="26"/>
      <c r="R260" s="26"/>
      <c r="S260" s="26"/>
      <c r="T260" s="26"/>
      <c r="U260" s="26"/>
      <c r="V260" s="26"/>
      <c r="W260" s="26"/>
      <c r="X260" s="26"/>
      <c r="Y260" s="26"/>
      <c r="Z260" s="26"/>
      <c r="AA260" s="26"/>
      <c r="AB260" s="26"/>
    </row>
    <row r="261">
      <c r="A261" s="21" t="s">
        <v>943</v>
      </c>
      <c r="B261" s="22" t="s">
        <v>944</v>
      </c>
      <c r="C261" s="23" t="str">
        <f>IFERROR(__xludf.DUMMYFUNCTION("GOOGLETRANSLATE(B261, ""en"", ""fr"")"),"Scroll of Deathbind")</f>
        <v>Scroll of Deathbind</v>
      </c>
      <c r="D261" s="23" t="str">
        <f>IFERROR(__xludf.DUMMYFUNCTION("GOOGLETRANSLATE(B261, ""en"", ""es"")"),"Scroll of Deathbind")</f>
        <v>Scroll of Deathbind</v>
      </c>
      <c r="E261" s="23" t="str">
        <f>IFERROR(__xludf.DUMMYFUNCTION("GOOGLETRANSLATE(B261, ""en"", ""ru"")"),"Свиток смерти")</f>
        <v>Свиток смерти</v>
      </c>
      <c r="F261" s="23" t="str">
        <f>IFERROR(__xludf.DUMMYFUNCTION("GOOGLETRANSLATE(B261, ""en"", ""tr"")"),"Deathbind of Scroll")</f>
        <v>Deathbind of Scroll</v>
      </c>
      <c r="G261" s="23" t="str">
        <f>IFERROR(__xludf.DUMMYFUNCTION("GOOGLETRANSLATE(B261, ""en"", ""pt"")"),"Pergaminho de Deathbind")</f>
        <v>Pergaminho de Deathbind</v>
      </c>
      <c r="H261" s="24" t="str">
        <f>IFERROR(__xludf.DUMMYFUNCTION("GOOGLETRANSLATE(B261, ""en"", ""de"")"),"Schriftrolle des Todesbindes")</f>
        <v>Schriftrolle des Todesbindes</v>
      </c>
      <c r="I261" s="23" t="str">
        <f>IFERROR(__xludf.DUMMYFUNCTION("GOOGLETRANSLATE(B261, ""en"", ""pl"")"),"Zwój Deathbind")</f>
        <v>Zwój Deathbind</v>
      </c>
      <c r="J261" s="25" t="str">
        <f>IFERROR(__xludf.DUMMYFUNCTION("GOOGLETRANSLATE(B261, ""en"", ""zh"")"),"死亡束缚的卷轴")</f>
        <v>死亡束缚的卷轴</v>
      </c>
      <c r="K261" s="25" t="str">
        <f>IFERROR(__xludf.DUMMYFUNCTION("GOOGLETRANSLATE(B261, ""en"", ""vi"")"),"Cuộn Deathbind")</f>
        <v>Cuộn Deathbind</v>
      </c>
      <c r="L261" s="42" t="str">
        <f>IFERROR(__xludf.DUMMYFUNCTION("GOOGLETRANSLATE(B261, ""en"", ""hr"")"),"Pomicanje smrti")</f>
        <v>Pomicanje smrti</v>
      </c>
      <c r="M261" s="26"/>
      <c r="N261" s="26"/>
      <c r="O261" s="26"/>
      <c r="P261" s="26"/>
      <c r="Q261" s="26"/>
      <c r="R261" s="26"/>
      <c r="S261" s="26"/>
      <c r="T261" s="26"/>
      <c r="U261" s="26"/>
      <c r="V261" s="26"/>
      <c r="W261" s="26"/>
      <c r="X261" s="26"/>
      <c r="Y261" s="26"/>
      <c r="Z261" s="26"/>
      <c r="AA261" s="26"/>
      <c r="AB261" s="26"/>
    </row>
    <row r="262">
      <c r="A262" s="21" t="s">
        <v>945</v>
      </c>
      <c r="B262" s="22" t="s">
        <v>946</v>
      </c>
      <c r="C262" s="23" t="str">
        <f>IFERROR(__xludf.DUMMYFUNCTION("GOOGLETRANSLATE(B262, ""en"", ""fr"")"),"Maudire la cible. Quand ils meurent, ils se transforment automatiquement en un serviteur mort-vivant non réclamé.")</f>
        <v>Maudire la cible. Quand ils meurent, ils se transforment automatiquement en un serviteur mort-vivant non réclamé.</v>
      </c>
      <c r="D262" s="23" t="str">
        <f>IFERROR(__xludf.DUMMYFUNCTION("GOOGLETRANSLATE(B262, ""en"", ""es"")"),"Maldecir el objetivo. Cuando mueren, se convierten en un minion no muerto no reclamado automáticamente.")</f>
        <v>Maldecir el objetivo. Cuando mueren, se convierten en un minion no muerto no reclamado automáticamente.</v>
      </c>
      <c r="E262" s="23" t="str">
        <f>IFERROR(__xludf.DUMMYFUNCTION("GOOGLETRANSLATE(B262, ""en"", ""ru"")"),"Проклинать цель. Когда они умирают, они автоматически превращаются в невостребованного нежити.")</f>
        <v>Проклинать цель. Когда они умирают, они автоматически превращаются в невостребованного нежити.</v>
      </c>
      <c r="F262" s="23" t="str">
        <f>IFERROR(__xludf.DUMMYFUNCTION("GOOGLETRANSLATE(B262, ""en"", ""tr"")"),"Hedefi lanetleyin. Öldüklerinde otomatik olarak sahipsiz bir ölümsüz minyona dönüşürler.")</f>
        <v>Hedefi lanetleyin. Öldüklerinde otomatik olarak sahipsiz bir ölümsüz minyona dönüşürler.</v>
      </c>
      <c r="G262" s="23" t="str">
        <f>IFERROR(__xludf.DUMMYFUNCTION("GOOGLETRANSLATE(B262, ""en"", ""pt"")"),"Amaldiçoe o alvo. Quando eles morrem, se transformam em um lacaio morto não -visto não reclamado automaticamente.")</f>
        <v>Amaldiçoe o alvo. Quando eles morrem, se transformam em um lacaio morto não -visto não reclamado automaticamente.</v>
      </c>
      <c r="H262" s="24" t="str">
        <f>IFERROR(__xludf.DUMMYFUNCTION("GOOGLETRANSLATE(B262, ""en"", ""de"")"),"Fluchen Sie das Ziel. Wenn sie sterben, verwandeln sie sich automatisch in einen nicht beanspruchten Untoten.")</f>
        <v>Fluchen Sie das Ziel. Wenn sie sterben, verwandeln sie sich automatisch in einen nicht beanspruchten Untoten.</v>
      </c>
      <c r="I262" s="23" t="str">
        <f>IFERROR(__xludf.DUMMYFUNCTION("GOOGLETRANSLATE(B262, ""en"", ""pl"")"),"Przeklinać cel. Kiedy umierają, automatycznie zamieniają się w nieodebranego nieumarłych.")</f>
        <v>Przeklinać cel. Kiedy umierają, automatycznie zamieniają się w nieodebranego nieumarłych.</v>
      </c>
      <c r="J262" s="25" t="str">
        <f>IFERROR(__xludf.DUMMYFUNCTION("GOOGLETRANSLATE(B262, ""en"", ""zh"")"),"诅咒目标。当他们死亡时，他们会自动变成一个无人认领的不死小兵。")</f>
        <v>诅咒目标。当他们死亡时，他们会自动变成一个无人认领的不死小兵。</v>
      </c>
      <c r="K262" s="25" t="str">
        <f>IFERROR(__xludf.DUMMYFUNCTION("GOOGLETRANSLATE(B262, ""en"", ""vi"")"),"Nguyền rủa mục tiêu. Khi họ chết, họ tự động biến thành một minion bất tử không được yêu cầu.")</f>
        <v>Nguyền rủa mục tiêu. Khi họ chết, họ tự động biến thành một minion bất tử không được yêu cầu.</v>
      </c>
      <c r="L262" s="42" t="str">
        <f>IFERROR(__xludf.DUMMYFUNCTION("GOOGLETRANSLATE(B262, ""en"", ""hr"")"),"Prokletstvo cilja. Kad umru, automatski se pretvaraju u nepropusni mrtvi minion.")</f>
        <v>Prokletstvo cilja. Kad umru, automatski se pretvaraju u nepropusni mrtvi minion.</v>
      </c>
      <c r="M262" s="26"/>
      <c r="N262" s="26"/>
      <c r="O262" s="26"/>
      <c r="P262" s="26"/>
      <c r="Q262" s="26"/>
      <c r="R262" s="26"/>
      <c r="S262" s="26"/>
      <c r="T262" s="26"/>
      <c r="U262" s="26"/>
      <c r="V262" s="26"/>
      <c r="W262" s="26"/>
      <c r="X262" s="26"/>
      <c r="Y262" s="26"/>
      <c r="Z262" s="26"/>
      <c r="AA262" s="26"/>
      <c r="AB262" s="26"/>
    </row>
    <row r="263">
      <c r="A263" s="21" t="s">
        <v>947</v>
      </c>
      <c r="B263" s="22" t="s">
        <v>948</v>
      </c>
      <c r="C263" s="23" t="str">
        <f>IFERROR(__xludf.DUMMYFUNCTION("GOOGLETRANSLATE(B263, ""en"", ""fr"")"),"Faire défiler")</f>
        <v>Faire défiler</v>
      </c>
      <c r="D263" s="23" t="str">
        <f>IFERROR(__xludf.DUMMYFUNCTION("GOOGLETRANSLATE(B263, ""en"", ""es"")"),"Desplazarse")</f>
        <v>Desplazarse</v>
      </c>
      <c r="E263" s="23" t="str">
        <f>IFERROR(__xludf.DUMMYFUNCTION("GOOGLETRANSLATE(B263, ""en"", ""ru"")"),"Свиток в восторге")</f>
        <v>Свиток в восторге</v>
      </c>
      <c r="F263" s="23" t="str">
        <f>IFERROR(__xludf.DUMMYFUNCTION("GOOGLETRANSLATE(B263, ""en"", ""tr"")"),"Gravrol of büyüleyicisi")</f>
        <v>Gravrol of büyüleyicisi</v>
      </c>
      <c r="G263" s="23" t="str">
        <f>IFERROR(__xludf.DUMMYFUNCTION("GOOGLETRANSLATE(B263, ""en"", ""pt"")"),"Pergaminho de entalhe")</f>
        <v>Pergaminho de entalhe</v>
      </c>
      <c r="H263" s="24" t="str">
        <f>IFERROR(__xludf.DUMMYFUNCTION("GOOGLETRANSLATE(B263, ""en"", ""de"")"),"Scroll von Enthrall")</f>
        <v>Scroll von Enthrall</v>
      </c>
      <c r="I263" s="23" t="str">
        <f>IFERROR(__xludf.DUMMYFUNCTION("GOOGLETRANSLATE(B263, ""en"", ""pl"")"),"Zwój Fashrall")</f>
        <v>Zwój Fashrall</v>
      </c>
      <c r="J263" s="25" t="str">
        <f>IFERROR(__xludf.DUMMYFUNCTION("GOOGLETRANSLATE(B263, ""en"", ""zh"")"),"卷轴")</f>
        <v>卷轴</v>
      </c>
      <c r="K263" s="25" t="str">
        <f>IFERROR(__xludf.DUMMYFUNCTION("GOOGLETRANSLATE(B263, ""en"", ""vi"")"),"Cuộn của người say mê")</f>
        <v>Cuộn của người say mê</v>
      </c>
      <c r="L263" s="42" t="str">
        <f>IFERROR(__xludf.DUMMYFUNCTION("GOOGLETRANSLATE(B263, ""en"", ""hr"")"),"Pomaknite se oduševljenim")</f>
        <v>Pomaknite se oduševljenim</v>
      </c>
      <c r="M263" s="26"/>
      <c r="N263" s="26"/>
      <c r="O263" s="26"/>
      <c r="P263" s="26"/>
      <c r="Q263" s="26"/>
      <c r="R263" s="26"/>
      <c r="S263" s="26"/>
      <c r="T263" s="26"/>
      <c r="U263" s="26"/>
      <c r="V263" s="26"/>
      <c r="W263" s="26"/>
      <c r="X263" s="26"/>
      <c r="Y263" s="26"/>
      <c r="Z263" s="26"/>
      <c r="AA263" s="26"/>
      <c r="AB263" s="26"/>
    </row>
    <row r="264">
      <c r="A264" s="21" t="s">
        <v>949</v>
      </c>
      <c r="B264" s="22" t="s">
        <v>950</v>
      </c>
      <c r="C264" s="23" t="str">
        <f>IFERROR(__xludf.DUMMYFUNCTION("GOOGLETRANSLATE(B264, ""en"", ""fr"")"),"Faites que toutes les créatures mortes-vivantes non réclamées autour de vous deviennent vos serviteurs.")</f>
        <v>Faites que toutes les créatures mortes-vivantes non réclamées autour de vous deviennent vos serviteurs.</v>
      </c>
      <c r="D264" s="23" t="str">
        <f>IFERROR(__xludf.DUMMYFUNCTION("GOOGLETRANSLATE(B264, ""en"", ""es"")"),"Haga que todas las criaturas no muertas no reclamadas a tu alrededor se conviertan en tus secuaces.")</f>
        <v>Haga que todas las criaturas no muertas no reclamadas a tu alrededor se conviertan en tus secuaces.</v>
      </c>
      <c r="E264" s="23" t="str">
        <f>IFERROR(__xludf.DUMMYFUNCTION("GOOGLETRANSLATE(B264, ""en"", ""ru"")"),"Сделайте все невостребованные существа нежити вокруг вас стать вашими миньонами.")</f>
        <v>Сделайте все невостребованные существа нежити вокруг вас стать вашими миньонами.</v>
      </c>
      <c r="F264" s="23" t="str">
        <f>IFERROR(__xludf.DUMMYFUNCTION("GOOGLETRANSLATE(B264, ""en"", ""tr"")"),"Çevrenizdeki tüm talep edilmemiş ölümsüz yaratıklar minyonlarınız haline getirin.")</f>
        <v>Çevrenizdeki tüm talep edilmemiş ölümsüz yaratıklar minyonlarınız haline getirin.</v>
      </c>
      <c r="G264" s="23" t="str">
        <f>IFERROR(__xludf.DUMMYFUNCTION("GOOGLETRANSLATE(B264, ""en"", ""pt"")"),"Faça todas as criaturas mortas -vivas não reclamadas ao seu redor se tornarem seus lacaios.")</f>
        <v>Faça todas as criaturas mortas -vivas não reclamadas ao seu redor se tornarem seus lacaios.</v>
      </c>
      <c r="H264" s="24" t="str">
        <f>IFERROR(__xludf.DUMMYFUNCTION("GOOGLETRANSLATE(B264, ""en"", ""de"")"),"Machen Sie alle nicht beanspruchten untoten Kreaturen in Ihrer Umgebung zu Ihren Schergen.")</f>
        <v>Machen Sie alle nicht beanspruchten untoten Kreaturen in Ihrer Umgebung zu Ihren Schergen.</v>
      </c>
      <c r="I264" s="23" t="str">
        <f>IFERROR(__xludf.DUMMYFUNCTION("GOOGLETRANSLATE(B264, ""en"", ""pl"")"),"Spraw, aby wszystkie nieodebrane nieumarłe stworzenia stały się swoimi stworami.")</f>
        <v>Spraw, aby wszystkie nieodebrane nieumarłe stworzenia stały się swoimi stworami.</v>
      </c>
      <c r="J264" s="25" t="str">
        <f>IFERROR(__xludf.DUMMYFUNCTION("GOOGLETRANSLATE(B264, ""en"", ""zh"")"),"使周围的所有无人认领的亡灵生物成为您的小兵。")</f>
        <v>使周围的所有无人认领的亡灵生物成为您的小兵。</v>
      </c>
      <c r="K264" s="25" t="str">
        <f>IFERROR(__xludf.DUMMYFUNCTION("GOOGLETRANSLATE(B264, ""en"", ""vi"")"),"Làm cho tất cả các sinh vật bất tử không được yêu cầu xung quanh bạn trở thành tay sai của bạn.")</f>
        <v>Làm cho tất cả các sinh vật bất tử không được yêu cầu xung quanh bạn trở thành tay sai của bạn.</v>
      </c>
      <c r="L264" s="42" t="str">
        <f>IFERROR(__xludf.DUMMYFUNCTION("GOOGLETRANSLATE(B264, ""en"", ""hr"")"),"Učinite sva neobrađena mrtva stvorenja oko vas postaju vaši minioni.")</f>
        <v>Učinite sva neobrađena mrtva stvorenja oko vas postaju vaši minioni.</v>
      </c>
      <c r="M264" s="26"/>
      <c r="N264" s="26"/>
      <c r="O264" s="26"/>
      <c r="P264" s="26"/>
      <c r="Q264" s="26"/>
      <c r="R264" s="26"/>
      <c r="S264" s="26"/>
      <c r="T264" s="26"/>
      <c r="U264" s="26"/>
      <c r="V264" s="26"/>
      <c r="W264" s="26"/>
      <c r="X264" s="26"/>
      <c r="Y264" s="26"/>
      <c r="Z264" s="26"/>
      <c r="AA264" s="26"/>
      <c r="AB264" s="26"/>
    </row>
    <row r="265">
      <c r="A265" s="21" t="s">
        <v>951</v>
      </c>
      <c r="B265" s="22" t="s">
        <v>952</v>
      </c>
      <c r="C265" s="23" t="str">
        <f>IFERROR(__xludf.DUMMYFUNCTION("GOOGLETRANSLATE(B265, ""en"", ""fr"")"),"Marteau de gloire")</f>
        <v>Marteau de gloire</v>
      </c>
      <c r="D265" s="23" t="str">
        <f>IFERROR(__xludf.DUMMYFUNCTION("GOOGLETRANSLATE(B265, ""en"", ""es"")"),"Martillo de gloria")</f>
        <v>Martillo de gloria</v>
      </c>
      <c r="E265" s="23" t="str">
        <f>IFERROR(__xludf.DUMMYFUNCTION("GOOGLETRANSLATE(B265, ""en"", ""ru"")"),"Молоток славы")</f>
        <v>Молоток славы</v>
      </c>
      <c r="F265" s="23" t="str">
        <f>IFERROR(__xludf.DUMMYFUNCTION("GOOGLETRANSLATE(B265, ""en"", ""tr"")"),"Glory Hammer")</f>
        <v>Glory Hammer</v>
      </c>
      <c r="G265" s="23" t="str">
        <f>IFERROR(__xludf.DUMMYFUNCTION("GOOGLETRANSLATE(B265, ""en"", ""pt"")"),"Martelo da glória")</f>
        <v>Martelo da glória</v>
      </c>
      <c r="H265" s="24" t="str">
        <f>IFERROR(__xludf.DUMMYFUNCTION("GOOGLETRANSLATE(B265, ""en"", ""de"")"),"Hammer der Herrlichkeit")</f>
        <v>Hammer der Herrlichkeit</v>
      </c>
      <c r="I265" s="23" t="str">
        <f>IFERROR(__xludf.DUMMYFUNCTION("GOOGLETRANSLATE(B265, ""en"", ""pl"")"),"Młot chwały")</f>
        <v>Młot chwały</v>
      </c>
      <c r="J265" s="25" t="str">
        <f>IFERROR(__xludf.DUMMYFUNCTION("GOOGLETRANSLATE(B265, ""en"", ""zh"")"),"荣耀的锤子")</f>
        <v>荣耀的锤子</v>
      </c>
      <c r="K265" s="25" t="str">
        <f>IFERROR(__xludf.DUMMYFUNCTION("GOOGLETRANSLATE(B265, ""en"", ""vi"")"),"Búa vinh quang")</f>
        <v>Búa vinh quang</v>
      </c>
      <c r="L265" s="42" t="str">
        <f>IFERROR(__xludf.DUMMYFUNCTION("GOOGLETRANSLATE(B265, ""en"", ""hr"")"),"Čekić slave")</f>
        <v>Čekić slave</v>
      </c>
      <c r="M265" s="26"/>
      <c r="N265" s="26"/>
      <c r="O265" s="26"/>
      <c r="P265" s="26"/>
      <c r="Q265" s="26"/>
      <c r="R265" s="26"/>
      <c r="S265" s="26"/>
      <c r="T265" s="26"/>
      <c r="U265" s="26"/>
      <c r="V265" s="26"/>
      <c r="W265" s="26"/>
      <c r="X265" s="26"/>
      <c r="Y265" s="26"/>
      <c r="Z265" s="26"/>
      <c r="AA265" s="26"/>
      <c r="AB265" s="26"/>
    </row>
    <row r="266">
      <c r="A266" s="21" t="s">
        <v>953</v>
      </c>
      <c r="B266" s="22" t="s">
        <v>954</v>
      </c>
      <c r="C266" s="23" t="str">
        <f>IFERROR(__xludf.DUMMYFUNCTION("GOOGLETRANSLATE(B266, ""en"", ""fr"")"),"Relique. Une arme puissante utilisée par les héros anciens. Inflige des os cassés sur la cible et sur tout ce qui les entoure, et repousse l'utilisateur.")</f>
        <v>Relique. Une arme puissante utilisée par les héros anciens. Inflige des os cassés sur la cible et sur tout ce qui les entoure, et repousse l'utilisateur.</v>
      </c>
      <c r="D266" s="23" t="str">
        <f>IFERROR(__xludf.DUMMYFUNCTION("GOOGLETRANSLATE(B266, ""en"", ""es"")"),"Reliquia. Un arma poderosa utilizada por héroes antiguos. Inflige huesos rotos en el objetivo y en cualquier cosa a su alrededor, y empuja al usuario hacia atrás.")</f>
        <v>Reliquia. Un arma poderosa utilizada por héroes antiguos. Inflige huesos rotos en el objetivo y en cualquier cosa a su alrededor, y empuja al usuario hacia atrás.</v>
      </c>
      <c r="E266" s="23" t="str">
        <f>IFERROR(__xludf.DUMMYFUNCTION("GOOGLETRANSLATE(B266, ""en"", ""ru"")"),"Реликвия Мощное оружие, используемое древними героями. Наносит сломанные кости на цель и на что -либо вокруг них, и отталкивает пользователя обратно.")</f>
        <v>Реликвия Мощное оружие, используемое древними героями. Наносит сломанные кости на цель и на что -либо вокруг них, и отталкивает пользователя обратно.</v>
      </c>
      <c r="F266" s="23" t="str">
        <f>IFERROR(__xludf.DUMMYFUNCTION("GOOGLETRANSLATE(B266, ""en"", ""tr"")"),"Kalıntı. Antik kahramanlar tarafından kullanılan güçlü bir silah. Hedefte ve etraflarındaki herhangi bir şey üzerinde kırık kemikler verir ve kullanıcıyı geri iter.")</f>
        <v>Kalıntı. Antik kahramanlar tarafından kullanılan güçlü bir silah. Hedefte ve etraflarındaki herhangi bir şey üzerinde kırık kemikler verir ve kullanıcıyı geri iter.</v>
      </c>
      <c r="G266" s="23" t="str">
        <f>IFERROR(__xludf.DUMMYFUNCTION("GOOGLETRANSLATE(B266, ""en"", ""pt"")"),"Relíquia. Uma arma poderosa usada por heróis antigos. Inflige ossos quebrados no alvo e em qualquer coisa ao seu redor, e empurra o usuário de volta.")</f>
        <v>Relíquia. Uma arma poderosa usada por heróis antigos. Inflige ossos quebrados no alvo e em qualquer coisa ao seu redor, e empurra o usuário de volta.</v>
      </c>
      <c r="H266" s="24" t="str">
        <f>IFERROR(__xludf.DUMMYFUNCTION("GOOGLETRANSLATE(B266, ""en"", ""de"")"),"Relikt. Eine mächtige Waffe, die von alten Helden verwendet wird. Fügt dem Ziel und alles um sie herum gebrochene Knochen zu und schiebt den Benutzer zurück.")</f>
        <v>Relikt. Eine mächtige Waffe, die von alten Helden verwendet wird. Fügt dem Ziel und alles um sie herum gebrochene Knochen zu und schiebt den Benutzer zurück.</v>
      </c>
      <c r="I266" s="23" t="str">
        <f>IFERROR(__xludf.DUMMYFUNCTION("GOOGLETRANSLATE(B266, ""en"", ""pl"")"),"Relikt. Potężna broń używana przez starożytnych bohaterów. Wyrządza złamane kości na cel i na wszystko wokół, i odsuwa użytkownika z powrotem.")</f>
        <v>Relikt. Potężna broń używana przez starożytnych bohaterów. Wyrządza złamane kości na cel i na wszystko wokół, i odsuwa użytkownika z powrotem.</v>
      </c>
      <c r="J266" s="25" t="str">
        <f>IFERROR(__xludf.DUMMYFUNCTION("GOOGLETRANSLATE(B266, ""en"", ""zh"")"),"遗迹。古老英雄使用的强大武器。在目标和周围的任何物体上施加骨折的骨头，并将用户推回去。")</f>
        <v>遗迹。古老英雄使用的强大武器。在目标和周围的任何物体上施加骨折的骨头，并将用户推回去。</v>
      </c>
      <c r="K266" s="25" t="str">
        <f>IFERROR(__xludf.DUMMYFUNCTION("GOOGLETRANSLATE(B266, ""en"", ""vi"")"),"Thánh tích. Một vũ khí mạnh mẽ được sử dụng bởi các anh hùng cổ đại. Gây ra xương gãy vào mục tiêu và trên bất cứ thứ gì xung quanh chúng, và đẩy người dùng trở lại.")</f>
        <v>Thánh tích. Một vũ khí mạnh mẽ được sử dụng bởi các anh hùng cổ đại. Gây ra xương gãy vào mục tiêu và trên bất cứ thứ gì xung quanh chúng, và đẩy người dùng trở lại.</v>
      </c>
      <c r="L266" s="42" t="str">
        <f>IFERROR(__xludf.DUMMYFUNCTION("GOOGLETRANSLATE(B266, ""en"", ""hr"")"),"Relikvija. Snažno oružje koje koriste drevni heroji. Nanosi slomljene kosti cilju i na bilo što oko njih i gura korisnika natrag.")</f>
        <v>Relikvija. Snažno oružje koje koriste drevni heroji. Nanosi slomljene kosti cilju i na bilo što oko njih i gura korisnika natrag.</v>
      </c>
      <c r="M266" s="26"/>
      <c r="N266" s="26"/>
      <c r="O266" s="26"/>
      <c r="P266" s="26"/>
      <c r="Q266" s="26"/>
      <c r="R266" s="26"/>
      <c r="S266" s="26"/>
      <c r="T266" s="26"/>
      <c r="U266" s="26"/>
      <c r="V266" s="26"/>
      <c r="W266" s="26"/>
      <c r="X266" s="26"/>
      <c r="Y266" s="26"/>
      <c r="Z266" s="26"/>
      <c r="AA266" s="26"/>
      <c r="AB266" s="26"/>
    </row>
    <row r="267">
      <c r="A267" s="21" t="s">
        <v>955</v>
      </c>
      <c r="B267" s="22" t="s">
        <v>956</v>
      </c>
      <c r="C267" s="23" t="str">
        <f>IFERROR(__xludf.DUMMYFUNCTION("GOOGLETRANSLATE(B267, ""en"", ""fr"")"),"Armure de colère")</f>
        <v>Armure de colère</v>
      </c>
      <c r="D267" s="23" t="str">
        <f>IFERROR(__xludf.DUMMYFUNCTION("GOOGLETRANSLATE(B267, ""en"", ""es"")"),"Armadura de ira")</f>
        <v>Armadura de ira</v>
      </c>
      <c r="E267" s="23" t="str">
        <f>IFERROR(__xludf.DUMMYFUNCTION("GOOGLETRANSLATE(B267, ""en"", ""ru"")"),"Доспехи IRE")</f>
        <v>Доспехи IRE</v>
      </c>
      <c r="F267" s="23" t="str">
        <f>IFERROR(__xludf.DUMMYFUNCTION("GOOGLETRANSLATE(B267, ""en"", ""tr"")"),"Ire zırhı")</f>
        <v>Ire zırhı</v>
      </c>
      <c r="G267" s="23" t="str">
        <f>IFERROR(__xludf.DUMMYFUNCTION("GOOGLETRANSLATE(B267, ""en"", ""pt"")"),"Armadura da IRE")</f>
        <v>Armadura da IRE</v>
      </c>
      <c r="H267" s="24" t="str">
        <f>IFERROR(__xludf.DUMMYFUNCTION("GOOGLETRANSLATE(B267, ""en"", ""de"")"),"Rüstung des Zorns")</f>
        <v>Rüstung des Zorns</v>
      </c>
      <c r="I267" s="23" t="str">
        <f>IFERROR(__xludf.DUMMYFUNCTION("GOOGLETRANSLATE(B267, ""en"", ""pl"")"),"Pancerz Ire")</f>
        <v>Pancerz Ire</v>
      </c>
      <c r="J267" s="25" t="str">
        <f>IFERROR(__xludf.DUMMYFUNCTION("GOOGLETRANSLATE(B267, ""en"", ""zh"")"),"IRE的盔甲")</f>
        <v>IRE的盔甲</v>
      </c>
      <c r="K267" s="25" t="str">
        <f>IFERROR(__xludf.DUMMYFUNCTION("GOOGLETRANSLATE(B267, ""en"", ""vi"")"),"Áo giáp của IRE")</f>
        <v>Áo giáp của IRE</v>
      </c>
      <c r="L267" s="42" t="str">
        <f>IFERROR(__xludf.DUMMYFUNCTION("GOOGLETRANSLATE(B267, ""en"", ""hr"")"),"Oklop bijesa")</f>
        <v>Oklop bijesa</v>
      </c>
      <c r="M267" s="26"/>
      <c r="N267" s="26"/>
      <c r="O267" s="26"/>
      <c r="P267" s="26"/>
      <c r="Q267" s="26"/>
      <c r="R267" s="26"/>
      <c r="S267" s="26"/>
      <c r="T267" s="26"/>
      <c r="U267" s="26"/>
      <c r="V267" s="26"/>
      <c r="W267" s="26"/>
      <c r="X267" s="26"/>
      <c r="Y267" s="26"/>
      <c r="Z267" s="26"/>
      <c r="AA267" s="26"/>
      <c r="AB267" s="26"/>
    </row>
    <row r="268">
      <c r="A268" s="21" t="s">
        <v>957</v>
      </c>
      <c r="B268" s="22" t="s">
        <v>958</v>
      </c>
      <c r="C268" s="23" t="str">
        <f>IFERROR(__xludf.DUMMYFUNCTION("GOOGLETRANSLATE(B268, ""en"", ""fr"")"),"Relique. L'exosquelette d'un Seigneur démon tué, leur esprit vengeur persiste encore à l'intérieur. Reflète une partie des dommages causés à la source.")</f>
        <v>Relique. L'exosquelette d'un Seigneur démon tué, leur esprit vengeur persiste encore à l'intérieur. Reflète une partie des dommages causés à la source.</v>
      </c>
      <c r="D268" s="23" t="str">
        <f>IFERROR(__xludf.DUMMYFUNCTION("GOOGLETRANSLATE(B268, ""en"", ""es"")"),"Reliquia. El exoesqueleto de un señor demonio asesinado, su espíritu vengativo aún permanece dentro. Refleja una porción de daño tomado de vuelta a la fuente.")</f>
        <v>Reliquia. El exoesqueleto de un señor demonio asesinado, su espíritu vengativo aún permanece dentro. Refleja una porción de daño tomado de vuelta a la fuente.</v>
      </c>
      <c r="E268" s="23" t="str">
        <f>IFERROR(__xludf.DUMMYFUNCTION("GOOGLETRANSLATE(B268, ""en"", ""ru"")"),"Реликвия Экзоскелет убитого Господа демонов, их мстительный дух все еще задерживается внутри. Отражает часть ущерба, взятого обратно в источник.")</f>
        <v>Реликвия Экзоскелет убитого Господа демонов, их мстительный дух все еще задерживается внутри. Отражает часть ущерба, взятого обратно в источник.</v>
      </c>
      <c r="F268" s="23" t="str">
        <f>IFERROR(__xludf.DUMMYFUNCTION("GOOGLETRANSLATE(B268, ""en"", ""tr"")"),"Kalıntı. Katledilen bir iblis efendisinin dış iskeleti olan intikamcı ruhları hala içeride kalıyor. Kaynağa alınan hasarın bir kısmını yansıtır.")</f>
        <v>Kalıntı. Katledilen bir iblis efendisinin dış iskeleti olan intikamcı ruhları hala içeride kalıyor. Kaynağa alınan hasarın bir kısmını yansıtır.</v>
      </c>
      <c r="G268" s="23" t="str">
        <f>IFERROR(__xludf.DUMMYFUNCTION("GOOGLETRANSLATE(B268, ""en"", ""pt"")"),"Relíquia. O exoesqueleto de um Senhor demoníaco morto, seu espírito vingativo ainda permanece por dentro. Reflete uma parte dos danos levados de volta à fonte.")</f>
        <v>Relíquia. O exoesqueleto de um Senhor demoníaco morto, seu espírito vingativo ainda permanece por dentro. Reflete uma parte dos danos levados de volta à fonte.</v>
      </c>
      <c r="H268" s="24" t="str">
        <f>IFERROR(__xludf.DUMMYFUNCTION("GOOGLETRANSLATE(B268, ""en"", ""de"")"),"Relikt. Das Exoskelett eines ermordeten Dämons, ihr rachsüchtiger Geist bleibt immer noch in sich. Reflektiert einen Teil des an die Quelle zurückgezogenen Schadens.")</f>
        <v>Relikt. Das Exoskelett eines ermordeten Dämons, ihr rachsüchtiger Geist bleibt immer noch in sich. Reflektiert einen Teil des an die Quelle zurückgezogenen Schadens.</v>
      </c>
      <c r="I268" s="23" t="str">
        <f>IFERROR(__xludf.DUMMYFUNCTION("GOOGLETRANSLATE(B268, ""en"", ""pl"")"),"Relikt. Egzoszkielet zabitych demonów, ich mściwy duch wciąż pozostaje w środku. Odzwierciedla część szkód przywróconych do źródła.")</f>
        <v>Relikt. Egzoszkielet zabitych demonów, ich mściwy duch wciąż pozostaje w środku. Odzwierciedla część szkód przywróconych do źródła.</v>
      </c>
      <c r="J268" s="25" t="str">
        <f>IFERROR(__xludf.DUMMYFUNCTION("GOOGLETRANSLATE(B268, ""en"", ""zh"")"),"遗迹。被杀的恶魔主的外骨骼，他们复仇的精神仍然在里面徘徊。反映了一部分损坏带回源的损害。")</f>
        <v>遗迹。被杀的恶魔主的外骨骼，他们复仇的精神仍然在里面徘徊。反映了一部分损坏带回源的损害。</v>
      </c>
      <c r="K268" s="25" t="str">
        <f>IFERROR(__xludf.DUMMYFUNCTION("GOOGLETRANSLATE(B268, ""en"", ""vi"")"),"Thánh tích. Exoskeleton của một chúa tể quỷ bị giết, tinh thần báo thù của họ vẫn còn đọng lại bên trong. Phản ánh một phần thiệt hại được đưa trở lại nguồn.")</f>
        <v>Thánh tích. Exoskeleton của một chúa tể quỷ bị giết, tinh thần báo thù của họ vẫn còn đọng lại bên trong. Phản ánh một phần thiệt hại được đưa trở lại nguồn.</v>
      </c>
      <c r="L268" s="42" t="str">
        <f>IFERROR(__xludf.DUMMYFUNCTION("GOOGLETRANSLATE(B268, ""en"", ""hr"")"),"Relikvija. Egzoskelet ubijenog gospodara demona, njihov osvetoljubivi duh još uvijek ostaje iznutra. Odražava dio oštećenja prenesene na izvor.")</f>
        <v>Relikvija. Egzoskelet ubijenog gospodara demona, njihov osvetoljubivi duh još uvijek ostaje iznutra. Odražava dio oštećenja prenesene na izvor.</v>
      </c>
      <c r="M268" s="26"/>
      <c r="N268" s="26"/>
      <c r="O268" s="26"/>
      <c r="P268" s="26"/>
      <c r="Q268" s="26"/>
      <c r="R268" s="26"/>
      <c r="S268" s="26"/>
      <c r="T268" s="26"/>
      <c r="U268" s="26"/>
      <c r="V268" s="26"/>
      <c r="W268" s="26"/>
      <c r="X268" s="26"/>
      <c r="Y268" s="26"/>
      <c r="Z268" s="26"/>
      <c r="AA268" s="26"/>
      <c r="AB268" s="26"/>
    </row>
    <row r="269">
      <c r="A269" s="21" t="s">
        <v>959</v>
      </c>
      <c r="B269" s="22" t="s">
        <v>960</v>
      </c>
      <c r="C269" s="23" t="str">
        <f>IFERROR(__xludf.DUMMYFUNCTION("GOOGLETRANSLATE(B269, ""en"", ""fr"")"),"Hellraiser")</f>
        <v>Hellraiser</v>
      </c>
      <c r="D269" s="23" t="str">
        <f>IFERROR(__xludf.DUMMYFUNCTION("GOOGLETRANSLATE(B269, ""en"", ""es"")"),"Infernal")</f>
        <v>Infernal</v>
      </c>
      <c r="E269" s="23" t="str">
        <f>IFERROR(__xludf.DUMMYFUNCTION("GOOGLETRANSLATE(B269, ""en"", ""ru"")"),"Адский")</f>
        <v>Адский</v>
      </c>
      <c r="F269" s="23" t="str">
        <f>IFERROR(__xludf.DUMMYFUNCTION("GOOGLETRANSLATE(B269, ""en"", ""tr"")"),"Hellraiser")</f>
        <v>Hellraiser</v>
      </c>
      <c r="G269" s="23" t="str">
        <f>IFERROR(__xludf.DUMMYFUNCTION("GOOGLETRANSLATE(B269, ""en"", ""pt"")"),"Hellraiser")</f>
        <v>Hellraiser</v>
      </c>
      <c r="H269" s="24" t="str">
        <f>IFERROR(__xludf.DUMMYFUNCTION("GOOGLETRANSLATE(B269, ""en"", ""de"")"),"Hellraiser")</f>
        <v>Hellraiser</v>
      </c>
      <c r="I269" s="23" t="str">
        <f>IFERROR(__xludf.DUMMYFUNCTION("GOOGLETRANSLATE(B269, ""en"", ""pl"")"),"Hellraiser")</f>
        <v>Hellraiser</v>
      </c>
      <c r="J269" s="25" t="str">
        <f>IFERROR(__xludf.DUMMYFUNCTION("GOOGLETRANSLATE(B269, ""en"", ""zh"")"),"hellraiser")</f>
        <v>hellraiser</v>
      </c>
      <c r="K269" s="25" t="str">
        <f>IFERROR(__xludf.DUMMYFUNCTION("GOOGLETRANSLATE(B269, ""en"", ""vi"")"),"Hellraiser")</f>
        <v>Hellraiser</v>
      </c>
      <c r="L269" s="42" t="str">
        <f>IFERROR(__xludf.DUMMYFUNCTION("GOOGLETRANSLATE(B269, ""en"", ""hr"")"),"Pakleni")</f>
        <v>Pakleni</v>
      </c>
      <c r="M269" s="26"/>
      <c r="N269" s="26"/>
      <c r="O269" s="26"/>
      <c r="P269" s="26"/>
      <c r="Q269" s="26"/>
      <c r="R269" s="26"/>
      <c r="S269" s="26"/>
      <c r="T269" s="26"/>
      <c r="U269" s="26"/>
      <c r="V269" s="26"/>
      <c r="W269" s="26"/>
      <c r="X269" s="26"/>
      <c r="Y269" s="26"/>
      <c r="Z269" s="26"/>
      <c r="AA269" s="26"/>
      <c r="AB269" s="26"/>
    </row>
    <row r="270">
      <c r="A270" s="21" t="s">
        <v>961</v>
      </c>
      <c r="B270" s="22" t="s">
        <v>962</v>
      </c>
      <c r="C270" s="23" t="str">
        <f>IFERROR(__xludf.DUMMYFUNCTION("GOOGLETRANSLATE(B270, ""en"", ""fr"")"),"Relique. Déchire un rift dans le monde souterrain, laissant les flammes à l'intérieur. Tire une vague de feu, mais brûle également l'utilisateur.")</f>
        <v>Relique. Déchire un rift dans le monde souterrain, laissant les flammes à l'intérieur. Tire une vague de feu, mais brûle également l'utilisateur.</v>
      </c>
      <c r="D270" s="23" t="str">
        <f>IFERROR(__xludf.DUMMYFUNCTION("GOOGLETRANSLATE(B270, ""en"", ""es"")"),"Reliquia. Rompa una grieta hacia el inframundo, dejando que las llamas dentro estallaran. Dispara una ola de fuego, pero también quema al usuario.")</f>
        <v>Reliquia. Rompa una grieta hacia el inframundo, dejando que las llamas dentro estallaran. Dispara una ola de fuego, pero también quema al usuario.</v>
      </c>
      <c r="E270" s="23" t="str">
        <f>IFERROR(__xludf.DUMMYFUNCTION("GOOGLETRANSLATE(B270, ""en"", ""ru"")"),"Реликвия Разрывает разрыв в подземный мир, пропустив пламя внутри прорыва. Стреляет волной огня, но также сжигает пользователя.")</f>
        <v>Реликвия Разрывает разрыв в подземный мир, пропустив пламя внутри прорыва. Стреляет волной огня, но также сжигает пользователя.</v>
      </c>
      <c r="F270" s="23" t="str">
        <f>IFERROR(__xludf.DUMMYFUNCTION("GOOGLETRANSLATE(B270, ""en"", ""tr"")"),"Kalıntı. Yeraltı dünyasına bir yarık yırtıp, alevlerin patlamasına izin verir. Bir ateş dalgası çeker, ama aynı zamanda kullanıcıyı yakar.")</f>
        <v>Kalıntı. Yeraltı dünyasına bir yarık yırtıp, alevlerin patlamasına izin verir. Bir ateş dalgası çeker, ama aynı zamanda kullanıcıyı yakar.</v>
      </c>
      <c r="G270" s="23" t="str">
        <f>IFERROR(__xludf.DUMMYFUNCTION("GOOGLETRANSLATE(B270, ""en"", ""pt"")"),"Relíquia. Rasga uma brecha no submundo, deixando as chamas explodirem. Dispara uma onda de fogo, mas também queima o usuário.")</f>
        <v>Relíquia. Rasga uma brecha no submundo, deixando as chamas explodirem. Dispara uma onda de fogo, mas também queima o usuário.</v>
      </c>
      <c r="H270" s="24" t="str">
        <f>IFERROR(__xludf.DUMMYFUNCTION("GOOGLETRANSLATE(B270, ""en"", ""de"")"),"Relikt. Reißt einen Riss in die Unterwelt und lässt die Flammen durchbrechen. Schießt eine Feuerwelle ab, verbrennt aber auch den Benutzer.")</f>
        <v>Relikt. Reißt einen Riss in die Unterwelt und lässt die Flammen durchbrechen. Schießt eine Feuerwelle ab, verbrennt aber auch den Benutzer.</v>
      </c>
      <c r="I270" s="23" t="str">
        <f>IFERROR(__xludf.DUMMYFUNCTION("GOOGLETRANSLATE(B270, ""en"", ""pl"")"),"Relikt. Rozdziera szczelinę do podziemnego świata, pozwalając, by płomienie w obrębie się przebijały. Strzela falą ognia, ale także spala użytkownika.")</f>
        <v>Relikt. Rozdziera szczelinę do podziemnego świata, pozwalając, by płomienie w obrębie się przebijały. Strzela falą ognia, ale także spala użytkownika.</v>
      </c>
      <c r="J270" s="25" t="str">
        <f>IFERROR(__xludf.DUMMYFUNCTION("GOOGLETRANSLATE(B270, ""en"", ""zh"")"),"遗迹。将裂痕撕成碎片世界，让火焰爆发出来。射击一波火，但也燃烧了用户。")</f>
        <v>遗迹。将裂痕撕成碎片世界，让火焰爆发出来。射击一波火，但也燃烧了用户。</v>
      </c>
      <c r="K270" s="25" t="str">
        <f>IFERROR(__xludf.DUMMYFUNCTION("GOOGLETRANSLATE(B270, ""en"", ""vi"")"),"Thánh tích. Nước mắt rạn nứt vào thế giới ngầm, để ngọn lửa bùng nổ. Bắn một làn sóng lửa, nhưng cũng đốt cháy người dùng.")</f>
        <v>Thánh tích. Nước mắt rạn nứt vào thế giới ngầm, để ngọn lửa bùng nổ. Bắn một làn sóng lửa, nhưng cũng đốt cháy người dùng.</v>
      </c>
      <c r="L270" s="42" t="str">
        <f>IFERROR(__xludf.DUMMYFUNCTION("GOOGLETRANSLATE(B270, ""en"", ""hr"")"),"Relikvija. Suze provaliju u podzemlje, puštajući plamen unutar provale. Puca val vatre, ali također spaljuje korisnika.")</f>
        <v>Relikvija. Suze provaliju u podzemlje, puštajući plamen unutar provale. Puca val vatre, ali također spaljuje korisnika.</v>
      </c>
      <c r="M270" s="26"/>
      <c r="N270" s="26"/>
      <c r="O270" s="26"/>
      <c r="P270" s="26"/>
      <c r="Q270" s="26"/>
      <c r="R270" s="26"/>
      <c r="S270" s="26"/>
      <c r="T270" s="26"/>
      <c r="U270" s="26"/>
      <c r="V270" s="26"/>
      <c r="W270" s="26"/>
      <c r="X270" s="26"/>
      <c r="Y270" s="26"/>
      <c r="Z270" s="26"/>
      <c r="AA270" s="26"/>
      <c r="AB270" s="26"/>
    </row>
    <row r="271">
      <c r="A271" s="21" t="s">
        <v>963</v>
      </c>
      <c r="B271" s="22" t="s">
        <v>964</v>
      </c>
      <c r="C271" s="23" t="str">
        <f>IFERROR(__xludf.DUMMYFUNCTION("GOOGLETRANSLATE(B271, ""en"", ""fr"")"),"Galent temporel")</f>
        <v>Galent temporel</v>
      </c>
      <c r="D271" s="23" t="str">
        <f>IFERROR(__xludf.DUMMYFUNCTION("GOOGLETRANSLATE(B271, ""en"", ""es"")"),"Tormenta")</f>
        <v>Tormenta</v>
      </c>
      <c r="E271" s="23" t="str">
        <f>IFERROR(__xludf.DUMMYFUNCTION("GOOGLETRANSLATE(B271, ""en"", ""ru"")"),"GaleStorm")</f>
        <v>GaleStorm</v>
      </c>
      <c r="F271" s="23" t="str">
        <f>IFERROR(__xludf.DUMMYFUNCTION("GOOGLETRANSLATE(B271, ""en"", ""tr"")"),"Galestorm")</f>
        <v>Galestorm</v>
      </c>
      <c r="G271" s="23" t="str">
        <f>IFERROR(__xludf.DUMMYFUNCTION("GOOGLETRANSLATE(B271, ""en"", ""pt"")"),"Galestorm")</f>
        <v>Galestorm</v>
      </c>
      <c r="H271" s="24" t="str">
        <f>IFERROR(__xludf.DUMMYFUNCTION("GOOGLETRANSLATE(B271, ""en"", ""de"")"),"Galestorm")</f>
        <v>Galestorm</v>
      </c>
      <c r="I271" s="23" t="str">
        <f>IFERROR(__xludf.DUMMYFUNCTION("GOOGLETRANSLATE(B271, ""en"", ""pl"")"),"Galestorm")</f>
        <v>Galestorm</v>
      </c>
      <c r="J271" s="25" t="str">
        <f>IFERROR(__xludf.DUMMYFUNCTION("GOOGLETRANSLATE(B271, ""en"", ""zh"")"),"纪念物")</f>
        <v>纪念物</v>
      </c>
      <c r="K271" s="25" t="str">
        <f>IFERROR(__xludf.DUMMYFUNCTION("GOOGLETRANSLATE(B271, ""en"", ""vi"")"),"Galestorm")</f>
        <v>Galestorm</v>
      </c>
      <c r="L271" s="42" t="str">
        <f>IFERROR(__xludf.DUMMYFUNCTION("GOOGLETRANSLATE(B271, ""en"", ""hr"")"),"Gala")</f>
        <v>Gala</v>
      </c>
      <c r="M271" s="26"/>
      <c r="N271" s="26"/>
      <c r="O271" s="26"/>
      <c r="P271" s="26"/>
      <c r="Q271" s="26"/>
      <c r="R271" s="26"/>
      <c r="S271" s="26"/>
      <c r="T271" s="26"/>
      <c r="U271" s="26"/>
      <c r="V271" s="26"/>
      <c r="W271" s="26"/>
      <c r="X271" s="26"/>
      <c r="Y271" s="26"/>
      <c r="Z271" s="26"/>
      <c r="AA271" s="26"/>
      <c r="AB271" s="26"/>
    </row>
    <row r="272">
      <c r="A272" s="21" t="s">
        <v>965</v>
      </c>
      <c r="B272" s="22" t="s">
        <v>966</v>
      </c>
      <c r="C272" s="23" t="str">
        <f>IFERROR(__xludf.DUMMYFUNCTION("GOOGLETRANSLATE(B272, ""en"", ""fr"")"),"Relique. Utilisé par les marins de pirate pour propulser leurs navires. Tire un flux de vent lorsqu'il est chargé en collectant les tornades qu'il crée.")</f>
        <v>Relique. Utilisé par les marins de pirate pour propulser leurs navires. Tire un flux de vent lorsqu'il est chargé en collectant les tornades qu'il crée.</v>
      </c>
      <c r="D272" s="23" t="str">
        <f>IFERROR(__xludf.DUMMYFUNCTION("GOOGLETRANSLATE(B272, ""en"", ""es"")"),"Reliquia. Utilizado por los marineros piratas para impulsar sus barcos. Dispara una corriente de viento cuando se carga al recoger los tornados que crea.")</f>
        <v>Reliquia. Utilizado por los marineros piratas para impulsar sus barcos. Dispara una corriente de viento cuando se carga al recoger los tornados que crea.</v>
      </c>
      <c r="E272" s="23" t="str">
        <f>IFERROR(__xludf.DUMMYFUNCTION("GOOGLETRANSLATE(B272, ""en"", ""ru"")"),"Реликвия Используется пиратскими моряками для продвижения своих кораблей. Стреляет по потоку ветра, когда обвиняется, собирая торнадо, которые он создает.")</f>
        <v>Реликвия Используется пиратскими моряками для продвижения своих кораблей. Стреляет по потоку ветра, когда обвиняется, собирая торнадо, которые он создает.</v>
      </c>
      <c r="F272" s="23" t="str">
        <f>IFERROR(__xludf.DUMMYFUNCTION("GOOGLETRANSLATE(B272, ""en"", ""tr"")"),"Kalıntı. Korsan denizcileri tarafından gemilerini itmek için kullanılır. Yarattığı kasırgaları toplayarak şarj edildiğinde bir rüzgar akışı vurur.")</f>
        <v>Kalıntı. Korsan denizcileri tarafından gemilerini itmek için kullanılır. Yarattığı kasırgaları toplayarak şarj edildiğinde bir rüzgar akışı vurur.</v>
      </c>
      <c r="G272" s="23" t="str">
        <f>IFERROR(__xludf.DUMMYFUNCTION("GOOGLETRANSLATE(B272, ""en"", ""pt"")"),"Relíquia. Usado por marinheiros piratas para impulsionar seus navios. Dispara um fluxo de vento quando carregado coletando os tornados que cria.")</f>
        <v>Relíquia. Usado por marinheiros piratas para impulsionar seus navios. Dispara um fluxo de vento quando carregado coletando os tornados que cria.</v>
      </c>
      <c r="H272" s="24" t="str">
        <f>IFERROR(__xludf.DUMMYFUNCTION("GOOGLETRANSLATE(B272, ""en"", ""de"")"),"Relikt. Wird von Piratensiegoren verwendet, um ihre Schiffe zu treiben. Schießt einen Windstrom, wenn er angeklagt wird, indem er die Tornados sammelt, die er erzeugt.")</f>
        <v>Relikt. Wird von Piratensiegoren verwendet, um ihre Schiffe zu treiben. Schießt einen Windstrom, wenn er angeklagt wird, indem er die Tornados sammelt, die er erzeugt.</v>
      </c>
      <c r="I272" s="23" t="str">
        <f>IFERROR(__xludf.DUMMYFUNCTION("GOOGLETRANSLATE(B272, ""en"", ""pl"")"),"Relikt. Używane przez pirackich żeglarzy do napędzania swoich statków. Strzela strumień wiatru, gdy jest obciążony, zbierając tornados, które tworzy.")</f>
        <v>Relikt. Używane przez pirackich żeglarzy do napędzania swoich statków. Strzela strumień wiatru, gdy jest obciążony, zbierając tornados, które tworzy.</v>
      </c>
      <c r="J272" s="25" t="str">
        <f>IFERROR(__xludf.DUMMYFUNCTION("GOOGLETRANSLATE(B272, ""en"", ""zh"")"),"遗迹。海盗水手用来推动他们的船只。当收集龙卷风造成的龙卷风指控时，会射出一阵风。")</f>
        <v>遗迹。海盗水手用来推动他们的船只。当收集龙卷风造成的龙卷风指控时，会射出一阵风。</v>
      </c>
      <c r="K272" s="25" t="str">
        <f>IFERROR(__xludf.DUMMYFUNCTION("GOOGLETRANSLATE(B272, ""en"", ""vi"")"),"Thánh tích. Được sử dụng bởi các thủy thủ cướp biển để đẩy tàu của họ. Bắn một luồng gió khi bị sạc bằng cách thu thập những cơn lốc xoáy mà nó tạo ra.")</f>
        <v>Thánh tích. Được sử dụng bởi các thủy thủ cướp biển để đẩy tàu của họ. Bắn một luồng gió khi bị sạc bằng cách thu thập những cơn lốc xoáy mà nó tạo ra.</v>
      </c>
      <c r="L272" s="42" t="str">
        <f>IFERROR(__xludf.DUMMYFUNCTION("GOOGLETRANSLATE(B272, ""en"", ""hr"")"),"Relikvija. Koriste gusarski mornari za pokretanje svojih brodova. Puca u struju vjetra kada se naplaćuje prikupljanjem tornada koje stvara.")</f>
        <v>Relikvija. Koriste gusarski mornari za pokretanje svojih brodova. Puca u struju vjetra kada se naplaćuje prikupljanjem tornada koje stvara.</v>
      </c>
      <c r="M272" s="26"/>
      <c r="N272" s="26"/>
      <c r="O272" s="26"/>
      <c r="P272" s="26"/>
      <c r="Q272" s="26"/>
      <c r="R272" s="26"/>
      <c r="S272" s="26"/>
      <c r="T272" s="26"/>
      <c r="U272" s="26"/>
      <c r="V272" s="26"/>
      <c r="W272" s="26"/>
      <c r="X272" s="26"/>
      <c r="Y272" s="26"/>
      <c r="Z272" s="26"/>
      <c r="AA272" s="26"/>
      <c r="AB272" s="26"/>
    </row>
    <row r="273">
      <c r="A273" s="21" t="s">
        <v>967</v>
      </c>
      <c r="B273" s="22" t="s">
        <v>968</v>
      </c>
      <c r="C273" s="23" t="str">
        <f>IFERROR(__xludf.DUMMYFUNCTION("GOOGLETRANSLATE(B273, ""en"", ""fr"")"),"Étherweave")</f>
        <v>Étherweave</v>
      </c>
      <c r="D273" s="23" t="str">
        <f>IFERROR(__xludf.DUMMYFUNCTION("GOOGLETRANSLATE(B273, ""en"", ""es"")"),"Etherweave")</f>
        <v>Etherweave</v>
      </c>
      <c r="E273" s="23" t="str">
        <f>IFERROR(__xludf.DUMMYFUNCTION("GOOGLETRANSLATE(B273, ""en"", ""ru"")"),"Etherweave")</f>
        <v>Etherweave</v>
      </c>
      <c r="F273" s="23" t="str">
        <f>IFERROR(__xludf.DUMMYFUNCTION("GOOGLETRANSLATE(B273, ""en"", ""tr"")"),"Eterweave")</f>
        <v>Eterweave</v>
      </c>
      <c r="G273" s="23" t="str">
        <f>IFERROR(__xludf.DUMMYFUNCTION("GOOGLETRANSLATE(B273, ""en"", ""pt"")"),"EtherWeave")</f>
        <v>EtherWeave</v>
      </c>
      <c r="H273" s="24" t="str">
        <f>IFERROR(__xludf.DUMMYFUNCTION("GOOGLETRANSLATE(B273, ""en"", ""de"")"),"Etherweave")</f>
        <v>Etherweave</v>
      </c>
      <c r="I273" s="23" t="str">
        <f>IFERROR(__xludf.DUMMYFUNCTION("GOOGLETRANSLATE(B273, ""en"", ""pl"")"),"Etherweave")</f>
        <v>Etherweave</v>
      </c>
      <c r="J273" s="25" t="str">
        <f>IFERROR(__xludf.DUMMYFUNCTION("GOOGLETRANSLATE(B273, ""en"", ""zh"")"),"以太线")</f>
        <v>以太线</v>
      </c>
      <c r="K273" s="25" t="str">
        <f>IFERROR(__xludf.DUMMYFUNCTION("GOOGLETRANSLATE(B273, ""en"", ""vi"")"),"Etherweave")</f>
        <v>Etherweave</v>
      </c>
      <c r="L273" s="42" t="str">
        <f>IFERROR(__xludf.DUMMYFUNCTION("GOOGLETRANSLATE(B273, ""en"", ""hr"")"),"Etherweave")</f>
        <v>Etherweave</v>
      </c>
      <c r="M273" s="26"/>
      <c r="N273" s="26"/>
      <c r="O273" s="26"/>
      <c r="P273" s="26"/>
      <c r="Q273" s="26"/>
      <c r="R273" s="26"/>
      <c r="S273" s="26"/>
      <c r="T273" s="26"/>
      <c r="U273" s="26"/>
      <c r="V273" s="26"/>
      <c r="W273" s="26"/>
      <c r="X273" s="26"/>
      <c r="Y273" s="26"/>
      <c r="Z273" s="26"/>
      <c r="AA273" s="26"/>
      <c r="AB273" s="26"/>
    </row>
    <row r="274">
      <c r="A274" s="21" t="s">
        <v>969</v>
      </c>
      <c r="B274" s="22" t="s">
        <v>970</v>
      </c>
      <c r="C274" s="23" t="str">
        <f>IFERROR(__xludf.DUMMYFUNCTION("GOOGLETRANSLATE(B274, ""en"", ""fr"")"),"Relique. Un vêtement porté par des habitatants du plan astral. Restaure l'énergie du porteur lorsqu'il est endommagé.")</f>
        <v>Relique. Un vêtement porté par des habitatants du plan astral. Restaure l'énergie du porteur lorsqu'il est endommagé.</v>
      </c>
      <c r="D274" s="23" t="str">
        <f>IFERROR(__xludf.DUMMYFUNCTION("GOOGLETRANSLATE(B274, ""en"", ""es"")"),"Reliquia. Una prenda usada por habitantes del plano astral. Restaura la energía del usuario cuando está dañada.")</f>
        <v>Reliquia. Una prenda usada por habitantes del plano astral. Restaura la energía del usuario cuando está dañada.</v>
      </c>
      <c r="E274" s="23" t="str">
        <f>IFERROR(__xludf.DUMMYFUNCTION("GOOGLETRANSLATE(B274, ""en"", ""ru"")"),"Реликвия Одежда, которую носят жители астрального самолета. Восстанавливает энергию владельца при повреждении.")</f>
        <v>Реликвия Одежда, которую носят жители астрального самолета. Восстанавливает энергию владельца при повреждении.</v>
      </c>
      <c r="F274" s="23" t="str">
        <f>IFERROR(__xludf.DUMMYFUNCTION("GOOGLETRANSLATE(B274, ""en"", ""tr"")"),"Kalıntı. Astral düzlemin sakinleri tarafından giyilen bir giysi. Hasar edildiğinde kullanıcının enerjisini geri yükler.")</f>
        <v>Kalıntı. Astral düzlemin sakinleri tarafından giyilen bir giysi. Hasar edildiğinde kullanıcının enerjisini geri yükler.</v>
      </c>
      <c r="G274" s="23" t="str">
        <f>IFERROR(__xludf.DUMMYFUNCTION("GOOGLETRANSLATE(B274, ""en"", ""pt"")"),"Relíquia. Uma roupa usada pelos habitantes do plano astral. Restaura a energia do usuário quando danificada.")</f>
        <v>Relíquia. Uma roupa usada pelos habitantes do plano astral. Restaura a energia do usuário quando danificada.</v>
      </c>
      <c r="H274" s="24" t="str">
        <f>IFERROR(__xludf.DUMMYFUNCTION("GOOGLETRANSLATE(B274, ""en"", ""de"")"),"Relikt. Ein Kleidungsstück, das von Bewohnern der Astralebene getragen wird. Stellt die Energie des Trägers wieder her, wenn sie beschädigt werden.")</f>
        <v>Relikt. Ein Kleidungsstück, das von Bewohnern der Astralebene getragen wird. Stellt die Energie des Trägers wieder her, wenn sie beschädigt werden.</v>
      </c>
      <c r="I274" s="23" t="str">
        <f>IFERROR(__xludf.DUMMYFUNCTION("GOOGLETRANSLATE(B274, ""en"", ""pl"")"),"Relikt. Odzież noszona przez mieszkańców płaszczyzny astralnej. Przywraca energię użytkownika po uszkodzeniu.")</f>
        <v>Relikt. Odzież noszona przez mieszkańców płaszczyzny astralnej. Przywraca energię użytkownika po uszkodzeniu.</v>
      </c>
      <c r="J274" s="25" t="str">
        <f>IFERROR(__xludf.DUMMYFUNCTION("GOOGLETRANSLATE(B274, ""en"", ""zh"")"),"遗迹。星体居民穿着的衣服。损坏时恢复佩戴者的能量。")</f>
        <v>遗迹。星体居民穿着的衣服。损坏时恢复佩戴者的能量。</v>
      </c>
      <c r="K274" s="25" t="str">
        <f>IFERROR(__xludf.DUMMYFUNCTION("GOOGLETRANSLATE(B274, ""en"", ""vi"")"),"Thánh tích. Một bộ quần áo mặc bởi cư dân của mặt phẳng Astral. Phục hồi năng lượng của người đeo khi bị hư hại.")</f>
        <v>Thánh tích. Một bộ quần áo mặc bởi cư dân của mặt phẳng Astral. Phục hồi năng lượng của người đeo khi bị hư hại.</v>
      </c>
      <c r="L274" s="42" t="str">
        <f>IFERROR(__xludf.DUMMYFUNCTION("GOOGLETRANSLATE(B274, ""en"", ""hr"")"),"Relikvija. Odjevni predmet koji su nosili stanovnici astralne ravnine. Vraća energiju korisnika kada je oštećen.")</f>
        <v>Relikvija. Odjevni predmet koji su nosili stanovnici astralne ravnine. Vraća energiju korisnika kada je oštećen.</v>
      </c>
      <c r="M274" s="26"/>
      <c r="N274" s="26"/>
      <c r="O274" s="26"/>
      <c r="P274" s="26"/>
      <c r="Q274" s="26"/>
      <c r="R274" s="26"/>
      <c r="S274" s="26"/>
      <c r="T274" s="26"/>
      <c r="U274" s="26"/>
      <c r="V274" s="26"/>
      <c r="W274" s="26"/>
      <c r="X274" s="26"/>
      <c r="Y274" s="26"/>
      <c r="Z274" s="26"/>
      <c r="AA274" s="26"/>
      <c r="AB274" s="26"/>
    </row>
    <row r="275">
      <c r="A275" s="21" t="s">
        <v>971</v>
      </c>
      <c r="B275" s="22" t="s">
        <v>972</v>
      </c>
      <c r="C275" s="23" t="str">
        <f>IFERROR(__xludf.DUMMYFUNCTION("GOOGLETRANSLATE(B275, ""en"", ""fr"")"),"Bélonnage")</f>
        <v>Bélonnage</v>
      </c>
      <c r="D275" s="23" t="str">
        <f>IFERROR(__xludf.DUMMYFUNCTION("GOOGLETRANSLATE(B275, ""en"", ""es"")"),"Me morté")</f>
        <v>Me morté</v>
      </c>
      <c r="E275" s="23" t="str">
        <f>IFERROR(__xludf.DUMMYFUNCTION("GOOGLETRANSLATE(B275, ""en"", ""ru"")"),"Плохое предзнаменование")</f>
        <v>Плохое предзнаменование</v>
      </c>
      <c r="F275" s="23" t="str">
        <f>IFERROR(__xludf.DUMMYFUNCTION("GOOGLETRANSLATE(B275, ""en"", ""tr"")"),"Kötü alana")</f>
        <v>Kötü alana</v>
      </c>
      <c r="G275" s="23" t="str">
        <f>IFERROR(__xludf.DUMMYFUNCTION("GOOGLETRANSLATE(B275, ""en"", ""pt"")"),"Mau agouro")</f>
        <v>Mau agouro</v>
      </c>
      <c r="H275" s="24" t="str">
        <f>IFERROR(__xludf.DUMMYFUNCTION("GOOGLETRANSLATE(B275, ""en"", ""de"")"),"Krank Omen")</f>
        <v>Krank Omen</v>
      </c>
      <c r="I275" s="23" t="str">
        <f>IFERROR(__xludf.DUMMYFUNCTION("GOOGLETRANSLATE(B275, ""en"", ""pl"")"),"Źle omen")</f>
        <v>Źle omen</v>
      </c>
      <c r="J275" s="25" t="str">
        <f>IFERROR(__xludf.DUMMYFUNCTION("GOOGLETRANSLATE(B275, ""en"", ""zh"")"),"生病的兆头")</f>
        <v>生病的兆头</v>
      </c>
      <c r="K275" s="25" t="str">
        <f>IFERROR(__xludf.DUMMYFUNCTION("GOOGLETRANSLATE(B275, ""en"", ""vi"")"),"Điềm xấu")</f>
        <v>Điềm xấu</v>
      </c>
      <c r="L275" s="42" t="str">
        <f>IFERROR(__xludf.DUMMYFUNCTION("GOOGLETRANSLATE(B275, ""en"", ""hr"")"),"Bolestan znak")</f>
        <v>Bolestan znak</v>
      </c>
      <c r="M275" s="26"/>
      <c r="N275" s="26"/>
      <c r="O275" s="26"/>
      <c r="P275" s="26"/>
      <c r="Q275" s="26"/>
      <c r="R275" s="26"/>
      <c r="S275" s="26"/>
      <c r="T275" s="26"/>
      <c r="U275" s="26"/>
      <c r="V275" s="26"/>
      <c r="W275" s="26"/>
      <c r="X275" s="26"/>
      <c r="Y275" s="26"/>
      <c r="Z275" s="26"/>
      <c r="AA275" s="26"/>
      <c r="AB275" s="26"/>
    </row>
    <row r="276">
      <c r="A276" s="21" t="s">
        <v>973</v>
      </c>
      <c r="B276" s="22" t="s">
        <v>974</v>
      </c>
      <c r="C276" s="23" t="str">
        <f>IFERROR(__xludf.DUMMYFUNCTION("GOOGLETRANSLATE(B276, ""en"", ""fr"")"),"Relique. Un arc maudit qui apporte un malheur à ceux qu'il s'adresse. Inflige une malédiction lorsqu'il atteint qui inflige des dégâts après un retard.")</f>
        <v>Relique. Un arc maudit qui apporte un malheur à ceux qu'il s'adresse. Inflige une malédiction lorsqu'il atteint qui inflige des dégâts après un retard.</v>
      </c>
      <c r="D276" s="23" t="str">
        <f>IFERROR(__xludf.DUMMYFUNCTION("GOOGLETRANSLATE(B276, ""en"", ""es"")"),"Reliquia. Un arco maldito que trae desgracia a los que está dirigido. Inflige una maldición cuando golpea eso causa daños después de un retraso.")</f>
        <v>Reliquia. Un arco maldito que trae desgracia a los que está dirigido. Inflige una maldición cuando golpea eso causa daños después de un retraso.</v>
      </c>
      <c r="E276" s="23" t="str">
        <f>IFERROR(__xludf.DUMMYFUNCTION("GOOGLETRANSLATE(B276, ""en"", ""ru"")"),"Реликвия Проклятый лук, который приносит несчастье к тем, на что он нацелен. Наносит проклятие, когда он попадает в повреждение после задержки.")</f>
        <v>Реликвия Проклятый лук, который приносит несчастье к тем, на что он нацелен. Наносит проклятие, когда он попадает в повреждение после задержки.</v>
      </c>
      <c r="F276" s="23" t="str">
        <f>IFERROR(__xludf.DUMMYFUNCTION("GOOGLETRANSLATE(B276, ""en"", ""tr"")"),"Kalıntı. Hedeflenenlere talihsizlik getiren lanetli bir yay. Gecikmeden sonra hasar veren vurduğunda bir lanet verir.")</f>
        <v>Kalıntı. Hedeflenenlere talihsizlik getiren lanetli bir yay. Gecikmeden sonra hasar veren vurduğunda bir lanet verir.</v>
      </c>
      <c r="G276" s="23" t="str">
        <f>IFERROR(__xludf.DUMMYFUNCTION("GOOGLETRANSLATE(B276, ""en"", ""pt"")"),"Relíquia. Um arco amaldiçoado que traz infortúnio para aqueles que visa. Inflige uma maldição quando atinge que causa danos após um atraso.")</f>
        <v>Relíquia. Um arco amaldiçoado que traz infortúnio para aqueles que visa. Inflige uma maldição quando atinge que causa danos após um atraso.</v>
      </c>
      <c r="H276" s="24" t="str">
        <f>IFERROR(__xludf.DUMMYFUNCTION("GOOGLETRANSLATE(B276, ""en"", ""de"")"),"Relikt. Ein verfluchter Bogen, der denjenigen Unglücksfälle bringt, an die er sich richtet. Fügt einen Fluch zu, wenn es trifft, der nach einer Verzögerung Schaden anrichtet.")</f>
        <v>Relikt. Ein verfluchter Bogen, der denjenigen Unglücksfälle bringt, an die er sich richtet. Fügt einen Fluch zu, wenn es trifft, der nach einer Verzögerung Schaden anrichtet.</v>
      </c>
      <c r="I276" s="23" t="str">
        <f>IFERROR(__xludf.DUMMYFUNCTION("GOOGLETRANSLATE(B276, ""en"", ""pl"")"),"Relikt. Przeklęty łuk, który przynosi nieszczęście tym, na które jest skierowany. Wyrządza klątwę, gdy trafia, że ​​zadaje szkody po opóźnieniu.")</f>
        <v>Relikt. Przeklęty łuk, który przynosi nieszczęście tym, na które jest skierowany. Wyrządza klątwę, gdy trafia, że ​​zadaje szkody po opóźnieniu.</v>
      </c>
      <c r="J276" s="25" t="str">
        <f>IFERROR(__xludf.DUMMYFUNCTION("GOOGLETRANSLATE(B276, ""en"", ""zh"")"),"遗迹。被诅咒的弓带给了它的目标。当它撞到延迟后造成损坏时，会造成诅咒。")</f>
        <v>遗迹。被诅咒的弓带给了它的目标。当它撞到延迟后造成损坏时，会造成诅咒。</v>
      </c>
      <c r="K276" s="25" t="str">
        <f>IFERROR(__xludf.DUMMYFUNCTION("GOOGLETRANSLATE(B276, ""en"", ""vi"")"),"Thánh tích. Một cây cung bị nguyền rủa mang lại bất hạnh cho những người mà nó nhắm vào. Gây ra một lời nguyền khi nó đánh vào đó gây sát thương sau khi trì hoãn.")</f>
        <v>Thánh tích. Một cây cung bị nguyền rủa mang lại bất hạnh cho những người mà nó nhắm vào. Gây ra một lời nguyền khi nó đánh vào đó gây sát thương sau khi trì hoãn.</v>
      </c>
      <c r="L276" s="42" t="str">
        <f>IFERROR(__xludf.DUMMYFUNCTION("GOOGLETRANSLATE(B276, ""en"", ""hr"")"),"Relikvija. Prokleti luk koji donosi nesreću onima na koje je usmjeren. Nanese prokletstvo kad pogodi što nanosi štetu nakon kašnjenja.")</f>
        <v>Relikvija. Prokleti luk koji donosi nesreću onima na koje je usmjeren. Nanese prokletstvo kad pogodi što nanosi štetu nakon kašnjenja.</v>
      </c>
      <c r="M276" s="26"/>
      <c r="N276" s="26"/>
      <c r="O276" s="26"/>
      <c r="P276" s="26"/>
      <c r="Q276" s="26"/>
      <c r="R276" s="26"/>
      <c r="S276" s="26"/>
      <c r="T276" s="26"/>
      <c r="U276" s="26"/>
      <c r="V276" s="26"/>
      <c r="W276" s="26"/>
      <c r="X276" s="26"/>
      <c r="Y276" s="26"/>
      <c r="Z276" s="26"/>
      <c r="AA276" s="26"/>
      <c r="AB276" s="26"/>
    </row>
    <row r="277">
      <c r="A277" s="34"/>
      <c r="B277" s="35"/>
      <c r="C277" s="30"/>
      <c r="D277" s="30"/>
      <c r="E277" s="30"/>
      <c r="F277" s="30"/>
      <c r="G277" s="30"/>
      <c r="H277" s="31"/>
      <c r="I277" s="30"/>
      <c r="J277" s="32"/>
      <c r="K277" s="32"/>
      <c r="L277" s="47"/>
      <c r="M277" s="26"/>
      <c r="N277" s="26"/>
      <c r="O277" s="26"/>
      <c r="P277" s="26"/>
      <c r="Q277" s="26"/>
      <c r="R277" s="26"/>
      <c r="S277" s="26"/>
      <c r="T277" s="26"/>
      <c r="U277" s="26"/>
      <c r="V277" s="26"/>
      <c r="W277" s="26"/>
      <c r="X277" s="26"/>
      <c r="Y277" s="26"/>
      <c r="Z277" s="26"/>
      <c r="AA277" s="26"/>
      <c r="AB277" s="26"/>
    </row>
    <row r="278">
      <c r="A278" s="34"/>
      <c r="B278" s="35"/>
      <c r="C278" s="30"/>
      <c r="D278" s="30"/>
      <c r="E278" s="30"/>
      <c r="F278" s="30"/>
      <c r="G278" s="30"/>
      <c r="H278" s="31"/>
      <c r="I278" s="30"/>
      <c r="J278" s="32"/>
      <c r="K278" s="32"/>
      <c r="L278" s="47"/>
      <c r="M278" s="26"/>
      <c r="N278" s="26"/>
      <c r="O278" s="26"/>
      <c r="P278" s="26"/>
      <c r="Q278" s="26"/>
      <c r="R278" s="26"/>
      <c r="S278" s="26"/>
      <c r="T278" s="26"/>
      <c r="U278" s="26"/>
      <c r="V278" s="26"/>
      <c r="W278" s="26"/>
      <c r="X278" s="26"/>
      <c r="Y278" s="26"/>
      <c r="Z278" s="26"/>
      <c r="AA278" s="26"/>
      <c r="AB278" s="26"/>
    </row>
    <row r="279">
      <c r="A279" s="34"/>
      <c r="B279" s="35"/>
      <c r="C279" s="30"/>
      <c r="D279" s="30"/>
      <c r="E279" s="30"/>
      <c r="F279" s="30"/>
      <c r="G279" s="30"/>
      <c r="H279" s="31"/>
      <c r="I279" s="30"/>
      <c r="J279" s="32"/>
      <c r="K279" s="32"/>
      <c r="L279" s="47"/>
      <c r="M279" s="26"/>
      <c r="N279" s="26"/>
      <c r="O279" s="26"/>
      <c r="P279" s="26"/>
      <c r="Q279" s="26"/>
      <c r="R279" s="26"/>
      <c r="S279" s="26"/>
      <c r="T279" s="26"/>
      <c r="U279" s="26"/>
      <c r="V279" s="26"/>
      <c r="W279" s="26"/>
      <c r="X279" s="26"/>
      <c r="Y279" s="26"/>
      <c r="Z279" s="26"/>
      <c r="AA279" s="26"/>
      <c r="AB279" s="26"/>
    </row>
    <row r="280">
      <c r="A280" s="34"/>
      <c r="B280" s="35"/>
      <c r="C280" s="30"/>
      <c r="D280" s="30"/>
      <c r="E280" s="30"/>
      <c r="F280" s="30"/>
      <c r="G280" s="30"/>
      <c r="H280" s="31"/>
      <c r="I280" s="30"/>
      <c r="J280" s="32"/>
      <c r="K280" s="32"/>
      <c r="L280" s="47"/>
      <c r="M280" s="26"/>
      <c r="N280" s="26"/>
      <c r="O280" s="26"/>
      <c r="P280" s="26"/>
      <c r="Q280" s="26"/>
      <c r="R280" s="26"/>
      <c r="S280" s="26"/>
      <c r="T280" s="26"/>
      <c r="U280" s="26"/>
      <c r="V280" s="26"/>
      <c r="W280" s="26"/>
      <c r="X280" s="26"/>
      <c r="Y280" s="26"/>
      <c r="Z280" s="26"/>
      <c r="AA280" s="26"/>
      <c r="AB280" s="26"/>
    </row>
    <row r="281">
      <c r="A281" s="34"/>
      <c r="B281" s="35"/>
      <c r="C281" s="30"/>
      <c r="D281" s="30"/>
      <c r="E281" s="30"/>
      <c r="F281" s="30"/>
      <c r="G281" s="30"/>
      <c r="H281" s="31"/>
      <c r="I281" s="30"/>
      <c r="J281" s="32"/>
      <c r="K281" s="32"/>
      <c r="L281" s="47"/>
      <c r="M281" s="26"/>
      <c r="N281" s="26"/>
      <c r="O281" s="26"/>
      <c r="P281" s="26"/>
      <c r="Q281" s="26"/>
      <c r="R281" s="26"/>
      <c r="S281" s="26"/>
      <c r="T281" s="26"/>
      <c r="U281" s="26"/>
      <c r="V281" s="26"/>
      <c r="W281" s="26"/>
      <c r="X281" s="26"/>
      <c r="Y281" s="26"/>
      <c r="Z281" s="26"/>
      <c r="AA281" s="26"/>
      <c r="AB281" s="26"/>
    </row>
    <row r="282">
      <c r="A282" s="34"/>
      <c r="B282" s="35"/>
      <c r="C282" s="30"/>
      <c r="D282" s="30"/>
      <c r="E282" s="30"/>
      <c r="F282" s="30"/>
      <c r="G282" s="30"/>
      <c r="H282" s="31"/>
      <c r="I282" s="30"/>
      <c r="J282" s="32"/>
      <c r="K282" s="32"/>
      <c r="L282" s="47"/>
      <c r="M282" s="26"/>
      <c r="N282" s="26"/>
      <c r="O282" s="26"/>
      <c r="P282" s="26"/>
      <c r="Q282" s="26"/>
      <c r="R282" s="26"/>
      <c r="S282" s="26"/>
      <c r="T282" s="26"/>
      <c r="U282" s="26"/>
      <c r="V282" s="26"/>
      <c r="W282" s="26"/>
      <c r="X282" s="26"/>
      <c r="Y282" s="26"/>
      <c r="Z282" s="26"/>
      <c r="AA282" s="26"/>
      <c r="AB282" s="26"/>
    </row>
    <row r="283">
      <c r="A283" s="34"/>
      <c r="B283" s="35"/>
      <c r="C283" s="30"/>
      <c r="D283" s="30"/>
      <c r="E283" s="30"/>
      <c r="F283" s="30"/>
      <c r="G283" s="30"/>
      <c r="H283" s="31"/>
      <c r="I283" s="30"/>
      <c r="J283" s="32"/>
      <c r="K283" s="32"/>
      <c r="L283" s="47"/>
      <c r="M283" s="26"/>
      <c r="N283" s="26"/>
      <c r="O283" s="26"/>
      <c r="P283" s="26"/>
      <c r="Q283" s="26"/>
      <c r="R283" s="26"/>
      <c r="S283" s="26"/>
      <c r="T283" s="26"/>
      <c r="U283" s="26"/>
      <c r="V283" s="26"/>
      <c r="W283" s="26"/>
      <c r="X283" s="26"/>
      <c r="Y283" s="26"/>
      <c r="Z283" s="26"/>
      <c r="AA283" s="26"/>
      <c r="AB283" s="26"/>
    </row>
    <row r="284">
      <c r="A284" s="34"/>
      <c r="B284" s="35"/>
      <c r="C284" s="30"/>
      <c r="D284" s="30"/>
      <c r="E284" s="30"/>
      <c r="F284" s="30"/>
      <c r="G284" s="30"/>
      <c r="H284" s="31"/>
      <c r="I284" s="30"/>
      <c r="J284" s="32"/>
      <c r="K284" s="32"/>
      <c r="L284" s="47"/>
      <c r="M284" s="26"/>
      <c r="N284" s="26"/>
      <c r="O284" s="26"/>
      <c r="P284" s="26"/>
      <c r="Q284" s="26"/>
      <c r="R284" s="26"/>
      <c r="S284" s="26"/>
      <c r="T284" s="26"/>
      <c r="U284" s="26"/>
      <c r="V284" s="26"/>
      <c r="W284" s="26"/>
      <c r="X284" s="26"/>
      <c r="Y284" s="26"/>
      <c r="Z284" s="26"/>
      <c r="AA284" s="26"/>
      <c r="AB284" s="26"/>
    </row>
    <row r="285">
      <c r="A285" s="34"/>
      <c r="B285" s="35"/>
      <c r="C285" s="30"/>
      <c r="D285" s="30"/>
      <c r="E285" s="30"/>
      <c r="F285" s="30"/>
      <c r="G285" s="30"/>
      <c r="H285" s="31"/>
      <c r="I285" s="30"/>
      <c r="J285" s="32"/>
      <c r="K285" s="32"/>
      <c r="L285" s="47"/>
      <c r="M285" s="26"/>
      <c r="N285" s="26"/>
      <c r="O285" s="26"/>
      <c r="P285" s="26"/>
      <c r="Q285" s="26"/>
      <c r="R285" s="26"/>
      <c r="S285" s="26"/>
      <c r="T285" s="26"/>
      <c r="U285" s="26"/>
      <c r="V285" s="26"/>
      <c r="W285" s="26"/>
      <c r="X285" s="26"/>
      <c r="Y285" s="26"/>
      <c r="Z285" s="26"/>
      <c r="AA285" s="26"/>
      <c r="AB285" s="26"/>
    </row>
    <row r="286">
      <c r="A286" s="34"/>
      <c r="B286" s="35"/>
      <c r="C286" s="30"/>
      <c r="D286" s="30"/>
      <c r="E286" s="30"/>
      <c r="F286" s="30"/>
      <c r="G286" s="30"/>
      <c r="H286" s="31"/>
      <c r="I286" s="30"/>
      <c r="J286" s="32"/>
      <c r="K286" s="32"/>
      <c r="L286" s="47"/>
      <c r="M286" s="26"/>
      <c r="N286" s="26"/>
      <c r="O286" s="26"/>
      <c r="P286" s="26"/>
      <c r="Q286" s="26"/>
      <c r="R286" s="26"/>
      <c r="S286" s="26"/>
      <c r="T286" s="26"/>
      <c r="U286" s="26"/>
      <c r="V286" s="26"/>
      <c r="W286" s="26"/>
      <c r="X286" s="26"/>
      <c r="Y286" s="26"/>
      <c r="Z286" s="26"/>
      <c r="AA286" s="26"/>
      <c r="AB286" s="26"/>
    </row>
    <row r="287">
      <c r="A287" s="34"/>
      <c r="B287" s="35"/>
      <c r="C287" s="30"/>
      <c r="D287" s="30"/>
      <c r="E287" s="30"/>
      <c r="F287" s="30"/>
      <c r="G287" s="30"/>
      <c r="H287" s="31"/>
      <c r="I287" s="30"/>
      <c r="J287" s="32"/>
      <c r="K287" s="32"/>
      <c r="L287" s="47"/>
      <c r="M287" s="26"/>
      <c r="N287" s="26"/>
      <c r="O287" s="26"/>
      <c r="P287" s="26"/>
      <c r="Q287" s="26"/>
      <c r="R287" s="26"/>
      <c r="S287" s="26"/>
      <c r="T287" s="26"/>
      <c r="U287" s="26"/>
      <c r="V287" s="26"/>
      <c r="W287" s="26"/>
      <c r="X287" s="26"/>
      <c r="Y287" s="26"/>
      <c r="Z287" s="26"/>
      <c r="AA287" s="26"/>
      <c r="AB287" s="26"/>
    </row>
    <row r="288">
      <c r="A288" s="34"/>
      <c r="B288" s="35"/>
      <c r="C288" s="30"/>
      <c r="D288" s="30"/>
      <c r="E288" s="30"/>
      <c r="F288" s="30"/>
      <c r="G288" s="30"/>
      <c r="H288" s="31"/>
      <c r="I288" s="30"/>
      <c r="J288" s="32"/>
      <c r="K288" s="32"/>
      <c r="L288" s="47"/>
      <c r="M288" s="26"/>
      <c r="N288" s="26"/>
      <c r="O288" s="26"/>
      <c r="P288" s="26"/>
      <c r="Q288" s="26"/>
      <c r="R288" s="26"/>
      <c r="S288" s="26"/>
      <c r="T288" s="26"/>
      <c r="U288" s="26"/>
      <c r="V288" s="26"/>
      <c r="W288" s="26"/>
      <c r="X288" s="26"/>
      <c r="Y288" s="26"/>
      <c r="Z288" s="26"/>
      <c r="AA288" s="26"/>
      <c r="AB288" s="26"/>
    </row>
    <row r="289">
      <c r="A289" s="34"/>
      <c r="B289" s="35"/>
      <c r="C289" s="30"/>
      <c r="D289" s="30"/>
      <c r="E289" s="30"/>
      <c r="F289" s="30"/>
      <c r="G289" s="30"/>
      <c r="H289" s="31"/>
      <c r="I289" s="30"/>
      <c r="J289" s="32"/>
      <c r="K289" s="32"/>
      <c r="L289" s="47"/>
      <c r="M289" s="26"/>
      <c r="N289" s="26"/>
      <c r="O289" s="26"/>
      <c r="P289" s="26"/>
      <c r="Q289" s="26"/>
      <c r="R289" s="26"/>
      <c r="S289" s="26"/>
      <c r="T289" s="26"/>
      <c r="U289" s="26"/>
      <c r="V289" s="26"/>
      <c r="W289" s="26"/>
      <c r="X289" s="26"/>
      <c r="Y289" s="26"/>
      <c r="Z289" s="26"/>
      <c r="AA289" s="26"/>
      <c r="AB289" s="26"/>
    </row>
    <row r="290">
      <c r="A290" s="34"/>
      <c r="B290" s="35"/>
      <c r="C290" s="30"/>
      <c r="D290" s="30"/>
      <c r="E290" s="30"/>
      <c r="F290" s="30"/>
      <c r="G290" s="30"/>
      <c r="H290" s="31"/>
      <c r="I290" s="30"/>
      <c r="J290" s="32"/>
      <c r="K290" s="32"/>
      <c r="L290" s="47"/>
      <c r="M290" s="26"/>
      <c r="N290" s="26"/>
      <c r="O290" s="26"/>
      <c r="P290" s="26"/>
      <c r="Q290" s="26"/>
      <c r="R290" s="26"/>
      <c r="S290" s="26"/>
      <c r="T290" s="26"/>
      <c r="U290" s="26"/>
      <c r="V290" s="26"/>
      <c r="W290" s="26"/>
      <c r="X290" s="26"/>
      <c r="Y290" s="26"/>
      <c r="Z290" s="26"/>
      <c r="AA290" s="26"/>
      <c r="AB290" s="26"/>
    </row>
    <row r="291">
      <c r="A291" s="34"/>
      <c r="B291" s="35"/>
      <c r="C291" s="30"/>
      <c r="D291" s="30"/>
      <c r="E291" s="30"/>
      <c r="F291" s="30"/>
      <c r="G291" s="30"/>
      <c r="H291" s="31"/>
      <c r="I291" s="30"/>
      <c r="J291" s="32"/>
      <c r="K291" s="32"/>
      <c r="L291" s="47"/>
      <c r="M291" s="26"/>
      <c r="N291" s="26"/>
      <c r="O291" s="26"/>
      <c r="P291" s="26"/>
      <c r="Q291" s="26"/>
      <c r="R291" s="26"/>
      <c r="S291" s="26"/>
      <c r="T291" s="26"/>
      <c r="U291" s="26"/>
      <c r="V291" s="26"/>
      <c r="W291" s="26"/>
      <c r="X291" s="26"/>
      <c r="Y291" s="26"/>
      <c r="Z291" s="26"/>
      <c r="AA291" s="26"/>
      <c r="AB291" s="26"/>
    </row>
    <row r="292">
      <c r="A292" s="34"/>
      <c r="B292" s="35"/>
      <c r="C292" s="30"/>
      <c r="D292" s="30"/>
      <c r="E292" s="30"/>
      <c r="F292" s="30"/>
      <c r="G292" s="30"/>
      <c r="H292" s="31"/>
      <c r="I292" s="30"/>
      <c r="J292" s="32"/>
      <c r="K292" s="32"/>
      <c r="L292" s="47"/>
      <c r="M292" s="26"/>
      <c r="N292" s="26"/>
      <c r="O292" s="26"/>
      <c r="P292" s="26"/>
      <c r="Q292" s="26"/>
      <c r="R292" s="26"/>
      <c r="S292" s="26"/>
      <c r="T292" s="26"/>
      <c r="U292" s="26"/>
      <c r="V292" s="26"/>
      <c r="W292" s="26"/>
      <c r="X292" s="26"/>
      <c r="Y292" s="26"/>
      <c r="Z292" s="26"/>
      <c r="AA292" s="26"/>
      <c r="AB292" s="26"/>
    </row>
    <row r="293">
      <c r="A293" s="34"/>
      <c r="B293" s="35"/>
      <c r="C293" s="30"/>
      <c r="D293" s="30"/>
      <c r="E293" s="30"/>
      <c r="F293" s="30"/>
      <c r="G293" s="30"/>
      <c r="H293" s="31"/>
      <c r="I293" s="30"/>
      <c r="J293" s="32"/>
      <c r="K293" s="32"/>
      <c r="L293" s="47"/>
      <c r="M293" s="26"/>
      <c r="N293" s="26"/>
      <c r="O293" s="26"/>
      <c r="P293" s="26"/>
      <c r="Q293" s="26"/>
      <c r="R293" s="26"/>
      <c r="S293" s="26"/>
      <c r="T293" s="26"/>
      <c r="U293" s="26"/>
      <c r="V293" s="26"/>
      <c r="W293" s="26"/>
      <c r="X293" s="26"/>
      <c r="Y293" s="26"/>
      <c r="Z293" s="26"/>
      <c r="AA293" s="26"/>
      <c r="AB293" s="26"/>
    </row>
    <row r="294">
      <c r="A294" s="34"/>
      <c r="B294" s="35"/>
      <c r="C294" s="30"/>
      <c r="D294" s="30"/>
      <c r="E294" s="30"/>
      <c r="F294" s="30"/>
      <c r="G294" s="30"/>
      <c r="H294" s="31"/>
      <c r="I294" s="30"/>
      <c r="J294" s="32"/>
      <c r="K294" s="32"/>
      <c r="L294" s="47"/>
      <c r="M294" s="26"/>
      <c r="N294" s="26"/>
      <c r="O294" s="26"/>
      <c r="P294" s="26"/>
      <c r="Q294" s="26"/>
      <c r="R294" s="26"/>
      <c r="S294" s="26"/>
      <c r="T294" s="26"/>
      <c r="U294" s="26"/>
      <c r="V294" s="26"/>
      <c r="W294" s="26"/>
      <c r="X294" s="26"/>
      <c r="Y294" s="26"/>
      <c r="Z294" s="26"/>
      <c r="AA294" s="26"/>
      <c r="AB294" s="26"/>
    </row>
    <row r="295">
      <c r="A295" s="34"/>
      <c r="B295" s="35"/>
      <c r="C295" s="30"/>
      <c r="D295" s="30"/>
      <c r="E295" s="30"/>
      <c r="F295" s="30"/>
      <c r="G295" s="30"/>
      <c r="H295" s="31"/>
      <c r="I295" s="30"/>
      <c r="J295" s="32"/>
      <c r="K295" s="32"/>
      <c r="L295" s="47"/>
      <c r="M295" s="26"/>
      <c r="N295" s="26"/>
      <c r="O295" s="26"/>
      <c r="P295" s="26"/>
      <c r="Q295" s="26"/>
      <c r="R295" s="26"/>
      <c r="S295" s="26"/>
      <c r="T295" s="26"/>
      <c r="U295" s="26"/>
      <c r="V295" s="26"/>
      <c r="W295" s="26"/>
      <c r="X295" s="26"/>
      <c r="Y295" s="26"/>
      <c r="Z295" s="26"/>
      <c r="AA295" s="26"/>
      <c r="AB295" s="26"/>
    </row>
    <row r="296">
      <c r="A296" s="34"/>
      <c r="B296" s="35"/>
      <c r="C296" s="30"/>
      <c r="D296" s="30"/>
      <c r="E296" s="30"/>
      <c r="F296" s="30"/>
      <c r="G296" s="30"/>
      <c r="H296" s="31"/>
      <c r="I296" s="30"/>
      <c r="J296" s="32"/>
      <c r="K296" s="32"/>
      <c r="L296" s="47"/>
      <c r="M296" s="26"/>
      <c r="N296" s="26"/>
      <c r="O296" s="26"/>
      <c r="P296" s="26"/>
      <c r="Q296" s="26"/>
      <c r="R296" s="26"/>
      <c r="S296" s="26"/>
      <c r="T296" s="26"/>
      <c r="U296" s="26"/>
      <c r="V296" s="26"/>
      <c r="W296" s="26"/>
      <c r="X296" s="26"/>
      <c r="Y296" s="26"/>
      <c r="Z296" s="26"/>
      <c r="AA296" s="26"/>
      <c r="AB296" s="26"/>
    </row>
    <row r="297">
      <c r="A297" s="34"/>
      <c r="B297" s="35"/>
      <c r="C297" s="30"/>
      <c r="D297" s="30"/>
      <c r="E297" s="30"/>
      <c r="F297" s="30"/>
      <c r="G297" s="30"/>
      <c r="H297" s="31"/>
      <c r="I297" s="30"/>
      <c r="J297" s="32"/>
      <c r="K297" s="32"/>
      <c r="L297" s="47"/>
      <c r="M297" s="26"/>
      <c r="N297" s="26"/>
      <c r="O297" s="26"/>
      <c r="P297" s="26"/>
      <c r="Q297" s="26"/>
      <c r="R297" s="26"/>
      <c r="S297" s="26"/>
      <c r="T297" s="26"/>
      <c r="U297" s="26"/>
      <c r="V297" s="26"/>
      <c r="W297" s="26"/>
      <c r="X297" s="26"/>
      <c r="Y297" s="26"/>
      <c r="Z297" s="26"/>
      <c r="AA297" s="26"/>
      <c r="AB297" s="26"/>
    </row>
    <row r="298">
      <c r="A298" s="34"/>
      <c r="B298" s="35"/>
      <c r="C298" s="30"/>
      <c r="D298" s="30"/>
      <c r="E298" s="30"/>
      <c r="F298" s="30"/>
      <c r="G298" s="30"/>
      <c r="H298" s="31"/>
      <c r="I298" s="30"/>
      <c r="J298" s="32"/>
      <c r="K298" s="32"/>
      <c r="L298" s="47"/>
      <c r="M298" s="26"/>
      <c r="N298" s="26"/>
      <c r="O298" s="26"/>
      <c r="P298" s="26"/>
      <c r="Q298" s="26"/>
      <c r="R298" s="26"/>
      <c r="S298" s="26"/>
      <c r="T298" s="26"/>
      <c r="U298" s="26"/>
      <c r="V298" s="26"/>
      <c r="W298" s="26"/>
      <c r="X298" s="26"/>
      <c r="Y298" s="26"/>
      <c r="Z298" s="26"/>
      <c r="AA298" s="26"/>
      <c r="AB298" s="26"/>
    </row>
    <row r="299">
      <c r="A299" s="34"/>
      <c r="B299" s="35"/>
      <c r="C299" s="30"/>
      <c r="D299" s="30"/>
      <c r="E299" s="30"/>
      <c r="F299" s="30"/>
      <c r="G299" s="30"/>
      <c r="H299" s="31"/>
      <c r="I299" s="30"/>
      <c r="J299" s="32"/>
      <c r="K299" s="32"/>
      <c r="L299" s="47"/>
      <c r="M299" s="26"/>
      <c r="N299" s="26"/>
      <c r="O299" s="26"/>
      <c r="P299" s="26"/>
      <c r="Q299" s="26"/>
      <c r="R299" s="26"/>
      <c r="S299" s="26"/>
      <c r="T299" s="26"/>
      <c r="U299" s="26"/>
      <c r="V299" s="26"/>
      <c r="W299" s="26"/>
      <c r="X299" s="26"/>
      <c r="Y299" s="26"/>
      <c r="Z299" s="26"/>
      <c r="AA299" s="26"/>
      <c r="AB299" s="26"/>
    </row>
    <row r="300">
      <c r="A300" s="34"/>
      <c r="B300" s="35"/>
      <c r="C300" s="30"/>
      <c r="D300" s="30"/>
      <c r="E300" s="30"/>
      <c r="F300" s="30"/>
      <c r="G300" s="30"/>
      <c r="H300" s="31"/>
      <c r="I300" s="30"/>
      <c r="J300" s="32"/>
      <c r="K300" s="32"/>
      <c r="L300" s="47"/>
      <c r="M300" s="26"/>
      <c r="N300" s="26"/>
      <c r="O300" s="26"/>
      <c r="P300" s="26"/>
      <c r="Q300" s="26"/>
      <c r="R300" s="26"/>
      <c r="S300" s="26"/>
      <c r="T300" s="26"/>
      <c r="U300" s="26"/>
      <c r="V300" s="26"/>
      <c r="W300" s="26"/>
      <c r="X300" s="26"/>
      <c r="Y300" s="26"/>
      <c r="Z300" s="26"/>
      <c r="AA300" s="26"/>
      <c r="AB300" s="26"/>
    </row>
    <row r="301">
      <c r="A301" s="34"/>
      <c r="B301" s="35"/>
      <c r="C301" s="30"/>
      <c r="D301" s="30"/>
      <c r="E301" s="30"/>
      <c r="F301" s="30"/>
      <c r="G301" s="30"/>
      <c r="H301" s="31"/>
      <c r="I301" s="30"/>
      <c r="J301" s="32"/>
      <c r="K301" s="32"/>
      <c r="L301" s="47"/>
      <c r="M301" s="26"/>
      <c r="N301" s="26"/>
      <c r="O301" s="26"/>
      <c r="P301" s="26"/>
      <c r="Q301" s="26"/>
      <c r="R301" s="26"/>
      <c r="S301" s="26"/>
      <c r="T301" s="26"/>
      <c r="U301" s="26"/>
      <c r="V301" s="26"/>
      <c r="W301" s="26"/>
      <c r="X301" s="26"/>
      <c r="Y301" s="26"/>
      <c r="Z301" s="26"/>
      <c r="AA301" s="26"/>
      <c r="AB301" s="26"/>
    </row>
    <row r="302">
      <c r="A302" s="34"/>
      <c r="B302" s="35"/>
      <c r="C302" s="30"/>
      <c r="D302" s="30"/>
      <c r="E302" s="30"/>
      <c r="F302" s="30"/>
      <c r="G302" s="30"/>
      <c r="H302" s="31"/>
      <c r="I302" s="30"/>
      <c r="J302" s="32"/>
      <c r="K302" s="32"/>
      <c r="L302" s="47"/>
      <c r="M302" s="26"/>
      <c r="N302" s="26"/>
      <c r="O302" s="26"/>
      <c r="P302" s="26"/>
      <c r="Q302" s="26"/>
      <c r="R302" s="26"/>
      <c r="S302" s="26"/>
      <c r="T302" s="26"/>
      <c r="U302" s="26"/>
      <c r="V302" s="26"/>
      <c r="W302" s="26"/>
      <c r="X302" s="26"/>
      <c r="Y302" s="26"/>
      <c r="Z302" s="26"/>
      <c r="AA302" s="26"/>
      <c r="AB302" s="26"/>
    </row>
    <row r="303">
      <c r="A303" s="34"/>
      <c r="B303" s="35"/>
      <c r="C303" s="30"/>
      <c r="D303" s="30"/>
      <c r="E303" s="30"/>
      <c r="F303" s="30"/>
      <c r="G303" s="30"/>
      <c r="H303" s="31"/>
      <c r="I303" s="30"/>
      <c r="J303" s="32"/>
      <c r="K303" s="32"/>
      <c r="L303" s="47"/>
      <c r="M303" s="26"/>
      <c r="N303" s="26"/>
      <c r="O303" s="26"/>
      <c r="P303" s="26"/>
      <c r="Q303" s="26"/>
      <c r="R303" s="26"/>
      <c r="S303" s="26"/>
      <c r="T303" s="26"/>
      <c r="U303" s="26"/>
      <c r="V303" s="26"/>
      <c r="W303" s="26"/>
      <c r="X303" s="26"/>
      <c r="Y303" s="26"/>
      <c r="Z303" s="26"/>
      <c r="AA303" s="26"/>
      <c r="AB303" s="26"/>
    </row>
    <row r="304">
      <c r="A304" s="34"/>
      <c r="B304" s="35"/>
      <c r="C304" s="30"/>
      <c r="D304" s="30"/>
      <c r="E304" s="30"/>
      <c r="F304" s="30"/>
      <c r="G304" s="30"/>
      <c r="H304" s="31"/>
      <c r="I304" s="30"/>
      <c r="J304" s="32"/>
      <c r="K304" s="32"/>
      <c r="L304" s="47"/>
      <c r="M304" s="26"/>
      <c r="N304" s="26"/>
      <c r="O304" s="26"/>
      <c r="P304" s="26"/>
      <c r="Q304" s="26"/>
      <c r="R304" s="26"/>
      <c r="S304" s="26"/>
      <c r="T304" s="26"/>
      <c r="U304" s="26"/>
      <c r="V304" s="26"/>
      <c r="W304" s="26"/>
      <c r="X304" s="26"/>
      <c r="Y304" s="26"/>
      <c r="Z304" s="26"/>
      <c r="AA304" s="26"/>
      <c r="AB304" s="26"/>
    </row>
    <row r="305">
      <c r="A305" s="34"/>
      <c r="B305" s="35"/>
      <c r="C305" s="30"/>
      <c r="D305" s="30"/>
      <c r="E305" s="30"/>
      <c r="F305" s="30"/>
      <c r="G305" s="30"/>
      <c r="H305" s="31"/>
      <c r="I305" s="30"/>
      <c r="J305" s="32"/>
      <c r="K305" s="32"/>
      <c r="L305" s="47"/>
      <c r="M305" s="26"/>
      <c r="N305" s="26"/>
      <c r="O305" s="26"/>
      <c r="P305" s="26"/>
      <c r="Q305" s="26"/>
      <c r="R305" s="26"/>
      <c r="S305" s="26"/>
      <c r="T305" s="26"/>
      <c r="U305" s="26"/>
      <c r="V305" s="26"/>
      <c r="W305" s="26"/>
      <c r="X305" s="26"/>
      <c r="Y305" s="26"/>
      <c r="Z305" s="26"/>
      <c r="AA305" s="26"/>
      <c r="AB305" s="26"/>
    </row>
    <row r="306">
      <c r="A306" s="34"/>
      <c r="B306" s="35"/>
      <c r="C306" s="30"/>
      <c r="D306" s="30"/>
      <c r="E306" s="30"/>
      <c r="F306" s="30"/>
      <c r="G306" s="30"/>
      <c r="H306" s="31"/>
      <c r="I306" s="30"/>
      <c r="J306" s="32"/>
      <c r="K306" s="32"/>
      <c r="L306" s="47"/>
      <c r="M306" s="26"/>
      <c r="N306" s="26"/>
      <c r="O306" s="26"/>
      <c r="P306" s="26"/>
      <c r="Q306" s="26"/>
      <c r="R306" s="26"/>
      <c r="S306" s="26"/>
      <c r="T306" s="26"/>
      <c r="U306" s="26"/>
      <c r="V306" s="26"/>
      <c r="W306" s="26"/>
      <c r="X306" s="26"/>
      <c r="Y306" s="26"/>
      <c r="Z306" s="26"/>
      <c r="AA306" s="26"/>
      <c r="AB306" s="26"/>
    </row>
    <row r="307">
      <c r="A307" s="34"/>
      <c r="B307" s="35"/>
      <c r="C307" s="30"/>
      <c r="D307" s="30"/>
      <c r="E307" s="30"/>
      <c r="F307" s="30"/>
      <c r="G307" s="30"/>
      <c r="H307" s="31"/>
      <c r="I307" s="30"/>
      <c r="J307" s="32"/>
      <c r="K307" s="32"/>
      <c r="L307" s="47"/>
      <c r="M307" s="26"/>
      <c r="N307" s="26"/>
      <c r="O307" s="26"/>
      <c r="P307" s="26"/>
      <c r="Q307" s="26"/>
      <c r="R307" s="26"/>
      <c r="S307" s="26"/>
      <c r="T307" s="26"/>
      <c r="U307" s="26"/>
      <c r="V307" s="26"/>
      <c r="W307" s="26"/>
      <c r="X307" s="26"/>
      <c r="Y307" s="26"/>
      <c r="Z307" s="26"/>
      <c r="AA307" s="26"/>
      <c r="AB307" s="26"/>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row r="1213">
      <c r="A1213" s="1"/>
      <c r="B1213" s="36"/>
      <c r="C1213" s="36"/>
      <c r="D1213" s="36"/>
      <c r="E1213" s="36"/>
      <c r="F1213" s="36"/>
      <c r="G1213" s="36"/>
      <c r="H1213" s="37"/>
      <c r="I1213" s="36"/>
      <c r="J1213" s="38"/>
      <c r="K1213" s="38"/>
      <c r="L1213" s="39"/>
      <c r="M1213" s="39"/>
      <c r="N1213" s="39"/>
      <c r="O1213" s="39"/>
      <c r="P1213" s="39"/>
      <c r="Q1213" s="39"/>
      <c r="R1213" s="39"/>
      <c r="S1213" s="39"/>
      <c r="T1213" s="39"/>
      <c r="U1213" s="39"/>
      <c r="V1213" s="39"/>
      <c r="W1213" s="39"/>
      <c r="X1213" s="39"/>
      <c r="Y1213" s="39"/>
      <c r="Z1213" s="39"/>
      <c r="AA1213" s="39"/>
      <c r="AB1213" s="39"/>
    </row>
    <row r="1214">
      <c r="A1214" s="1"/>
      <c r="B1214" s="36"/>
      <c r="C1214" s="36"/>
      <c r="D1214" s="36"/>
      <c r="E1214" s="36"/>
      <c r="F1214" s="36"/>
      <c r="G1214" s="36"/>
      <c r="H1214" s="37"/>
      <c r="I1214" s="36"/>
      <c r="J1214" s="38"/>
      <c r="K1214" s="38"/>
      <c r="L1214" s="39"/>
      <c r="M1214" s="39"/>
      <c r="N1214" s="39"/>
      <c r="O1214" s="39"/>
      <c r="P1214" s="39"/>
      <c r="Q1214" s="39"/>
      <c r="R1214" s="39"/>
      <c r="S1214" s="39"/>
      <c r="T1214" s="39"/>
      <c r="U1214" s="39"/>
      <c r="V1214" s="39"/>
      <c r="W1214" s="39"/>
      <c r="X1214" s="39"/>
      <c r="Y1214" s="39"/>
      <c r="Z1214" s="39"/>
      <c r="AA1214" s="39"/>
      <c r="AB1214" s="39"/>
    </row>
    <row r="1215">
      <c r="A1215" s="1"/>
      <c r="B1215" s="36"/>
      <c r="C1215" s="36"/>
      <c r="D1215" s="36"/>
      <c r="E1215" s="36"/>
      <c r="F1215" s="36"/>
      <c r="G1215" s="36"/>
      <c r="H1215" s="37"/>
      <c r="I1215" s="36"/>
      <c r="J1215" s="38"/>
      <c r="K1215" s="38"/>
      <c r="L1215" s="39"/>
      <c r="M1215" s="39"/>
      <c r="N1215" s="39"/>
      <c r="O1215" s="39"/>
      <c r="P1215" s="39"/>
      <c r="Q1215" s="39"/>
      <c r="R1215" s="39"/>
      <c r="S1215" s="39"/>
      <c r="T1215" s="39"/>
      <c r="U1215" s="39"/>
      <c r="V1215" s="39"/>
      <c r="W1215" s="39"/>
      <c r="X1215" s="39"/>
      <c r="Y1215" s="39"/>
      <c r="Z1215" s="39"/>
      <c r="AA1215" s="39"/>
      <c r="AB1215" s="39"/>
    </row>
    <row r="1216">
      <c r="A1216" s="1"/>
      <c r="B1216" s="36"/>
      <c r="C1216" s="36"/>
      <c r="D1216" s="36"/>
      <c r="E1216" s="36"/>
      <c r="F1216" s="36"/>
      <c r="G1216" s="36"/>
      <c r="H1216" s="37"/>
      <c r="I1216" s="36"/>
      <c r="J1216" s="38"/>
      <c r="K1216" s="38"/>
      <c r="L1216" s="39"/>
      <c r="M1216" s="39"/>
      <c r="N1216" s="39"/>
      <c r="O1216" s="39"/>
      <c r="P1216" s="39"/>
      <c r="Q1216" s="39"/>
      <c r="R1216" s="39"/>
      <c r="S1216" s="39"/>
      <c r="T1216" s="39"/>
      <c r="U1216" s="39"/>
      <c r="V1216" s="39"/>
      <c r="W1216" s="39"/>
      <c r="X1216" s="39"/>
      <c r="Y1216" s="39"/>
      <c r="Z1216" s="39"/>
      <c r="AA1216" s="39"/>
      <c r="AB1216"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s>
  <sheetData>
    <row r="1">
      <c r="A1" s="1"/>
      <c r="B1" s="2"/>
      <c r="C1" s="1"/>
      <c r="D1" s="40" t="s">
        <v>452</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453</v>
      </c>
      <c r="E4" s="12"/>
      <c r="F4" s="10"/>
      <c r="G4" s="12"/>
      <c r="H4" s="13"/>
      <c r="I4" s="1"/>
      <c r="J4" s="9"/>
      <c r="K4" s="5"/>
      <c r="L4" s="6"/>
      <c r="M4" s="6"/>
      <c r="N4" s="6"/>
      <c r="O4" s="6"/>
      <c r="P4" s="6"/>
      <c r="Q4" s="6"/>
      <c r="R4" s="6"/>
      <c r="S4" s="6"/>
      <c r="T4" s="6"/>
      <c r="U4" s="6"/>
      <c r="V4" s="6"/>
      <c r="W4" s="6"/>
      <c r="X4" s="6"/>
      <c r="Y4" s="6"/>
      <c r="Z4" s="6"/>
      <c r="AA4" s="6"/>
      <c r="AB4" s="6"/>
    </row>
    <row r="5">
      <c r="A5" s="1"/>
      <c r="B5" s="10"/>
      <c r="C5" s="14"/>
      <c r="D5" s="15" t="s">
        <v>6</v>
      </c>
      <c r="E5" s="16"/>
      <c r="F5" s="10"/>
      <c r="G5" s="12"/>
      <c r="H5" s="13"/>
      <c r="I5" s="1"/>
      <c r="J5" s="9" t="s">
        <v>454</v>
      </c>
      <c r="K5" s="5"/>
      <c r="L5" s="6"/>
      <c r="M5" s="6"/>
      <c r="N5" s="6"/>
      <c r="O5" s="6"/>
      <c r="P5" s="6"/>
      <c r="Q5" s="6"/>
      <c r="R5" s="6"/>
      <c r="S5" s="6"/>
      <c r="T5" s="6"/>
      <c r="U5" s="6"/>
      <c r="V5" s="6"/>
      <c r="W5" s="6"/>
      <c r="X5" s="6"/>
      <c r="Y5" s="6"/>
      <c r="Z5" s="6"/>
      <c r="AA5" s="6"/>
      <c r="AB5" s="6"/>
    </row>
    <row r="6">
      <c r="A6" s="1"/>
      <c r="B6" s="10"/>
      <c r="C6" s="10"/>
      <c r="D6" s="10"/>
      <c r="E6" s="12"/>
      <c r="F6" s="10"/>
      <c r="G6" s="12"/>
      <c r="H6" s="13"/>
      <c r="I6" s="1"/>
      <c r="J6" s="9"/>
      <c r="K6" s="5"/>
      <c r="L6" s="6"/>
      <c r="M6" s="6"/>
      <c r="N6" s="6"/>
      <c r="O6" s="6"/>
      <c r="P6" s="6"/>
      <c r="Q6" s="6"/>
      <c r="R6" s="6"/>
      <c r="S6" s="6"/>
      <c r="T6" s="6"/>
      <c r="U6" s="6"/>
      <c r="V6" s="6"/>
      <c r="W6" s="6"/>
      <c r="X6" s="6"/>
      <c r="Y6" s="6"/>
      <c r="Z6" s="6"/>
      <c r="AA6" s="6"/>
      <c r="AB6" s="6"/>
    </row>
    <row r="7">
      <c r="A7" s="17"/>
      <c r="B7" s="18"/>
      <c r="C7" s="18"/>
      <c r="D7" s="18"/>
      <c r="E7" s="18"/>
      <c r="F7" s="18"/>
      <c r="G7" s="18"/>
      <c r="H7" s="18"/>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41" t="s">
        <v>19</v>
      </c>
      <c r="M8" s="20"/>
      <c r="N8" s="20"/>
      <c r="O8" s="20"/>
      <c r="P8" s="20"/>
      <c r="Q8" s="20"/>
      <c r="R8" s="20"/>
      <c r="S8" s="20"/>
      <c r="T8" s="20"/>
      <c r="U8" s="20"/>
      <c r="V8" s="20"/>
      <c r="W8" s="20"/>
      <c r="X8" s="20"/>
      <c r="Y8" s="20"/>
      <c r="Z8" s="20"/>
      <c r="AA8" s="20"/>
      <c r="AB8" s="20"/>
    </row>
    <row r="9">
      <c r="A9" s="21" t="s">
        <v>975</v>
      </c>
      <c r="B9" s="22" t="s">
        <v>976</v>
      </c>
      <c r="C9" s="23" t="str">
        <f>IFERROR(__xludf.DUMMYFUNCTION("GOOGLETRANSLATE(B9, ""en"", ""fr"")"),"Mannequin")</f>
        <v>Mannequin</v>
      </c>
      <c r="D9" s="23" t="str">
        <f>IFERROR(__xludf.DUMMYFUNCTION("GOOGLETRANSLATE(B9, ""en"", ""es"")"),"Muñeco de entrenamiento")</f>
        <v>Muñeco de entrenamiento</v>
      </c>
      <c r="E9" s="23" t="s">
        <v>977</v>
      </c>
      <c r="F9" s="23" t="str">
        <f>IFERROR(__xludf.DUMMYFUNCTION("GOOGLETRANSLATE(B9, ""en"", ""tr"")"),"Kukla Eğitim")</f>
        <v>Kukla Eğitim</v>
      </c>
      <c r="G9" s="23" t="str">
        <f>IFERROR(__xludf.DUMMYFUNCTION("GOOGLETRANSLATE(B9, ""en"", ""pt"")"),"Dummy de treinamento")</f>
        <v>Dummy de treinamento</v>
      </c>
      <c r="H9" s="24" t="str">
        <f>IFERROR(__xludf.DUMMYFUNCTION("GOOGLETRANSLATE(B9, ""en"", ""de"")"),"Trainingsdummy")</f>
        <v>Trainingsdummy</v>
      </c>
      <c r="I9" s="23" t="str">
        <f>IFERROR(__xludf.DUMMYFUNCTION("GOOGLETRANSLATE(B9, ""en"", ""pl"")"),"Manekin treningowy")</f>
        <v>Manekin treningowy</v>
      </c>
      <c r="J9" s="25" t="str">
        <f>IFERROR(__xludf.DUMMYFUNCTION("GOOGLETRANSLATE(B9, ""en"", ""zh"")"),"训练假人")</f>
        <v>训练假人</v>
      </c>
      <c r="K9" s="25" t="str">
        <f>IFERROR(__xludf.DUMMYFUNCTION("GOOGLETRANSLATE(B9, ""en"", ""vi"")"),"Đào tạo giả")</f>
        <v>Đào tạo giả</v>
      </c>
      <c r="L9" s="42" t="str">
        <f>IFERROR(__xludf.DUMMYFUNCTION("GOOGLETRANSLATE(B9, ""en"", ""hr"")"),"Trening lutka")</f>
        <v>Trening lutka</v>
      </c>
      <c r="M9" s="26"/>
      <c r="N9" s="26"/>
      <c r="O9" s="26"/>
      <c r="P9" s="26"/>
      <c r="Q9" s="26"/>
      <c r="R9" s="26"/>
      <c r="S9" s="26"/>
      <c r="T9" s="26"/>
      <c r="U9" s="26"/>
      <c r="V9" s="26"/>
      <c r="W9" s="26"/>
      <c r="X9" s="26"/>
      <c r="Y9" s="26"/>
      <c r="Z9" s="26"/>
      <c r="AA9" s="26"/>
      <c r="AB9" s="26"/>
    </row>
    <row r="10">
      <c r="A10" s="21" t="s">
        <v>978</v>
      </c>
      <c r="B10" s="22" t="s">
        <v>979</v>
      </c>
      <c r="C10" s="23" t="str">
        <f>IFERROR(__xludf.DUMMYFUNCTION("GOOGLETRANSLATE(B10, ""en"", ""fr"")"),"Bandit")</f>
        <v>Bandit</v>
      </c>
      <c r="D10" s="23" t="str">
        <f>IFERROR(__xludf.DUMMYFUNCTION("GOOGLETRANSLATE(B10, ""en"", ""es"")"),"Bandido")</f>
        <v>Bandido</v>
      </c>
      <c r="E10" s="23" t="s">
        <v>980</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42" t="str">
        <f>IFERROR(__xludf.DUMMYFUNCTION("GOOGLETRANSLATE(B10, ""en"", ""hr"")"),"Bandit")</f>
        <v>Bandit</v>
      </c>
      <c r="M10" s="26"/>
      <c r="N10" s="26"/>
      <c r="O10" s="26"/>
      <c r="P10" s="26"/>
      <c r="Q10" s="26"/>
      <c r="R10" s="26"/>
      <c r="S10" s="26"/>
      <c r="T10" s="26"/>
      <c r="U10" s="26"/>
      <c r="V10" s="26"/>
      <c r="W10" s="26"/>
      <c r="X10" s="26"/>
      <c r="Y10" s="26"/>
      <c r="Z10" s="26"/>
      <c r="AA10" s="26"/>
      <c r="AB10" s="26"/>
    </row>
    <row r="11">
      <c r="A11" s="21" t="s">
        <v>981</v>
      </c>
      <c r="B11" s="22" t="s">
        <v>982</v>
      </c>
      <c r="C11" s="23" t="str">
        <f>IFERROR(__xludf.DUMMYFUNCTION("GOOGLETRANSLATE(B11, ""en"", ""fr"")"),"Chef de bandit")</f>
        <v>Chef de bandit</v>
      </c>
      <c r="D11" s="23" t="str">
        <f>IFERROR(__xludf.DUMMYFUNCTION("GOOGLETRANSLATE(B11, ""en"", ""es"")"),"Líder de bandido")</f>
        <v>Líder de bandido</v>
      </c>
      <c r="E11" s="23" t="s">
        <v>983</v>
      </c>
      <c r="F11" s="23" t="str">
        <f>IFERROR(__xludf.DUMMYFUNCTION("GOOGLETRANSLATE(B11, ""en"", ""tr"")"),"Haydut lideri")</f>
        <v>Haydut lideri</v>
      </c>
      <c r="G11" s="23" t="str">
        <f>IFERROR(__xludf.DUMMYFUNCTION("GOOGLETRANSLATE(B11, ""en"", ""pt"")"),"Bandit Leader")</f>
        <v>Bandit Leader</v>
      </c>
      <c r="H11" s="24" t="str">
        <f>IFERROR(__xludf.DUMMYFUNCTION("GOOGLETRANSLATE(B11, ""en"", ""de"")"),"Banditenführer")</f>
        <v>Banditenführer</v>
      </c>
      <c r="I11" s="23" t="str">
        <f>IFERROR(__xludf.DUMMYFUNCTION("GOOGLETRANSLATE(B11, ""en"", ""pl"")"),"Lider bandyta")</f>
        <v>Lider bandyta</v>
      </c>
      <c r="J11" s="25" t="str">
        <f>IFERROR(__xludf.DUMMYFUNCTION("GOOGLETRANSLATE(B11, ""en"", ""zh"")"),"强盗领袖")</f>
        <v>强盗领袖</v>
      </c>
      <c r="K11" s="25" t="str">
        <f>IFERROR(__xludf.DUMMYFUNCTION("GOOGLETRANSLATE(B11, ""en"", ""vi"")"),"Lãnh đạo Bandit")</f>
        <v>Lãnh đạo Bandit</v>
      </c>
      <c r="L11" s="42" t="str">
        <f>IFERROR(__xludf.DUMMYFUNCTION("GOOGLETRANSLATE(B11, ""en"", ""hr"")"),"Vođa bandita")</f>
        <v>Vođa bandita</v>
      </c>
      <c r="M11" s="26"/>
      <c r="N11" s="26"/>
      <c r="O11" s="26"/>
      <c r="P11" s="26"/>
      <c r="Q11" s="26"/>
      <c r="R11" s="26"/>
      <c r="S11" s="26"/>
      <c r="T11" s="26"/>
      <c r="U11" s="26"/>
      <c r="V11" s="26"/>
      <c r="W11" s="26"/>
      <c r="X11" s="26"/>
      <c r="Y11" s="26"/>
      <c r="Z11" s="26"/>
      <c r="AA11" s="26"/>
      <c r="AB11" s="26"/>
    </row>
    <row r="12">
      <c r="A12" s="21" t="s">
        <v>984</v>
      </c>
      <c r="B12" s="22" t="s">
        <v>985</v>
      </c>
      <c r="C12" s="23" t="str">
        <f>IFERROR(__xludf.DUMMYFUNCTION("GOOGLETRANSLATE(B12, ""en"", ""fr"")"),"Assassin")</f>
        <v>Assassin</v>
      </c>
      <c r="D12" s="23" t="str">
        <f>IFERROR(__xludf.DUMMYFUNCTION("GOOGLETRANSLATE(B12, ""en"", ""es"")"),"Asesino")</f>
        <v>Asesino</v>
      </c>
      <c r="E12" s="23" t="s">
        <v>986</v>
      </c>
      <c r="F12" s="23" t="str">
        <f>IFERROR(__xludf.DUMMYFUNCTION("GOOGLETRANSLATE(B12, ""en"", ""tr"")"),"Suikastçı")</f>
        <v>Suikastçı</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42" t="str">
        <f>IFERROR(__xludf.DUMMYFUNCTION("GOOGLETRANSLATE(B12, ""en"", ""hr"")"),"Atentator")</f>
        <v>Atentator</v>
      </c>
      <c r="M12" s="26"/>
      <c r="N12" s="26"/>
      <c r="O12" s="26"/>
      <c r="P12" s="26"/>
      <c r="Q12" s="26"/>
      <c r="R12" s="26"/>
      <c r="S12" s="26"/>
      <c r="T12" s="26"/>
      <c r="U12" s="26"/>
      <c r="V12" s="26"/>
      <c r="W12" s="26"/>
      <c r="X12" s="26"/>
      <c r="Y12" s="26"/>
      <c r="Z12" s="26"/>
      <c r="AA12" s="26"/>
      <c r="AB12" s="26"/>
    </row>
    <row r="13">
      <c r="A13" s="21" t="s">
        <v>987</v>
      </c>
      <c r="B13" s="22" t="s">
        <v>988</v>
      </c>
      <c r="C13" s="23" t="str">
        <f>IFERROR(__xludf.DUMMYFUNCTION("GOOGLETRANSLATE(B13, ""en"", ""fr"")"),"Maître assassin")</f>
        <v>Maître assassin</v>
      </c>
      <c r="D13" s="23" t="str">
        <f>IFERROR(__xludf.DUMMYFUNCTION("GOOGLETRANSLATE(B13, ""en"", ""es"")"),"Maestro asesino")</f>
        <v>Maestro asesino</v>
      </c>
      <c r="E13" s="23" t="s">
        <v>989</v>
      </c>
      <c r="F13" s="23" t="str">
        <f>IFERROR(__xludf.DUMMYFUNCTION("GOOGLETRANSLATE(B13, ""en"", ""tr"")"),"Master suikastçısı")</f>
        <v>Master suikastçısı</v>
      </c>
      <c r="G13" s="23" t="str">
        <f>IFERROR(__xludf.DUMMYFUNCTION("GOOGLETRANSLATE(B13, ""en"", ""pt"")"),"Master Assassin")</f>
        <v>Master Assassin</v>
      </c>
      <c r="H13" s="24" t="str">
        <f>IFERROR(__xludf.DUMMYFUNCTION("GOOGLETRANSLATE(B13, ""en"", ""de"")"),"Meister -Attentäter")</f>
        <v>Meister -Attentäter</v>
      </c>
      <c r="I13" s="23" t="str">
        <f>IFERROR(__xludf.DUMMYFUNCTION("GOOGLETRANSLATE(B13, ""en"", ""pl"")"),"Master Assassin")</f>
        <v>Master Assassin</v>
      </c>
      <c r="J13" s="25" t="str">
        <f>IFERROR(__xludf.DUMMYFUNCTION("GOOGLETRANSLATE(B13, ""en"", ""zh"")"),"大师刺客")</f>
        <v>大师刺客</v>
      </c>
      <c r="K13" s="25" t="str">
        <f>IFERROR(__xludf.DUMMYFUNCTION("GOOGLETRANSLATE(B13, ""en"", ""vi"")"),"Master Assassin")</f>
        <v>Master Assassin</v>
      </c>
      <c r="L13" s="42" t="str">
        <f>IFERROR(__xludf.DUMMYFUNCTION("GOOGLETRANSLATE(B13, ""en"", ""hr"")"),"Glavni ubojica")</f>
        <v>Glavni ubojica</v>
      </c>
      <c r="M13" s="26"/>
      <c r="N13" s="26"/>
      <c r="O13" s="26"/>
      <c r="P13" s="26"/>
      <c r="Q13" s="26"/>
      <c r="R13" s="26"/>
      <c r="S13" s="26"/>
      <c r="T13" s="26"/>
      <c r="U13" s="26"/>
      <c r="V13" s="26"/>
      <c r="W13" s="26"/>
      <c r="X13" s="26"/>
      <c r="Y13" s="26"/>
      <c r="Z13" s="26"/>
      <c r="AA13" s="26"/>
      <c r="AB13" s="26"/>
    </row>
    <row r="14">
      <c r="A14" s="21" t="s">
        <v>990</v>
      </c>
      <c r="B14" s="22" t="s">
        <v>991</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42" t="str">
        <f>IFERROR(__xludf.DUMMYFUNCTION("GOOGLETRANSLATE(B14, ""en"", ""hr"")"),"Šišmiš")</f>
        <v>Šišmiš</v>
      </c>
      <c r="M14" s="26"/>
      <c r="N14" s="26"/>
      <c r="O14" s="26"/>
      <c r="P14" s="26"/>
      <c r="Q14" s="26"/>
      <c r="R14" s="26"/>
      <c r="S14" s="26"/>
      <c r="T14" s="26"/>
      <c r="U14" s="26"/>
      <c r="V14" s="26"/>
      <c r="W14" s="26"/>
      <c r="X14" s="26"/>
      <c r="Y14" s="26"/>
      <c r="Z14" s="26"/>
      <c r="AA14" s="26"/>
      <c r="AB14" s="26"/>
    </row>
    <row r="15">
      <c r="A15" s="21" t="s">
        <v>992</v>
      </c>
      <c r="B15" s="22" t="s">
        <v>993</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""de"")"),"Lineal")</f>
        <v>Lineal</v>
      </c>
      <c r="I15" s="23" t="str">
        <f>IFERROR(__xludf.DUMMYFUNCTION("GOOGLETRANSLATE(B15, ""en"", ""pl"")"),"Linijka")</f>
        <v>Linijka</v>
      </c>
      <c r="J15" s="25" t="str">
        <f>IFERROR(__xludf.DUMMYFUNCTION("GOOGLETRANSLATE(B15, ""en"", ""zh"")"),"统治者")</f>
        <v>统治者</v>
      </c>
      <c r="K15" s="25" t="str">
        <f>IFERROR(__xludf.DUMMYFUNCTION("GOOGLETRANSLATE(B15, ""en"", ""vi"")"),"Người cai trị")</f>
        <v>Người cai trị</v>
      </c>
      <c r="L15" s="42" t="str">
        <f>IFERROR(__xludf.DUMMYFUNCTION("GOOGLETRANSLATE(B15, ""en"", ""hr"")"),"Vladar")</f>
        <v>Vladar</v>
      </c>
      <c r="M15" s="26"/>
      <c r="N15" s="26"/>
      <c r="O15" s="26"/>
      <c r="P15" s="26"/>
      <c r="Q15" s="26"/>
      <c r="R15" s="26"/>
      <c r="S15" s="26"/>
      <c r="T15" s="26"/>
      <c r="U15" s="26"/>
      <c r="V15" s="26"/>
      <c r="W15" s="26"/>
      <c r="X15" s="26"/>
      <c r="Y15" s="26"/>
      <c r="Z15" s="26"/>
      <c r="AA15" s="26"/>
      <c r="AB15" s="26"/>
    </row>
    <row r="16">
      <c r="A16" s="21" t="s">
        <v>994</v>
      </c>
      <c r="B16" s="22" t="s">
        <v>995</v>
      </c>
      <c r="C16" s="23" t="str">
        <f>IFERROR(__xludf.DUMMYFUNCTION("GOOGLETRANSLATE(B16, ""en"", ""fr"")"),"Aubergiste")</f>
        <v>Aubergiste</v>
      </c>
      <c r="D16" s="23" t="str">
        <f>IFERROR(__xludf.DUMMYFUNCTION("GOOGLETRANSLATE(B16, ""en"", ""es"")"),"Posadero")</f>
        <v>Posadero</v>
      </c>
      <c r="E16" s="23" t="s">
        <v>996</v>
      </c>
      <c r="F16" s="23" t="str">
        <f>IFERROR(__xludf.DUMMYFUNCTION("GOOGLETRANSLATE(B16, ""en"", ""tr"")"),"Hanımefendi")</f>
        <v>Hanımefendi</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""zh"")"),"客栈老板")</f>
        <v>客栈老板</v>
      </c>
      <c r="K16" s="25" t="str">
        <f>IFERROR(__xludf.DUMMYFUNCTION("GOOGLETRANSLATE(B16, ""en"", ""vi"")"),"Chủ nhà trọ")</f>
        <v>Chủ nhà trọ</v>
      </c>
      <c r="L16" s="42" t="str">
        <f>IFERROR(__xludf.DUMMYFUNCTION("GOOGLETRANSLATE(B16, ""en"", ""hr"")"),"Gostioničar")</f>
        <v>Gostioničar</v>
      </c>
      <c r="M16" s="26"/>
      <c r="N16" s="26"/>
      <c r="O16" s="26"/>
      <c r="P16" s="26"/>
      <c r="Q16" s="26"/>
      <c r="R16" s="26"/>
      <c r="S16" s="26"/>
      <c r="T16" s="26"/>
      <c r="U16" s="26"/>
      <c r="V16" s="26"/>
      <c r="W16" s="26"/>
      <c r="X16" s="26"/>
      <c r="Y16" s="26"/>
      <c r="Z16" s="26"/>
      <c r="AA16" s="26"/>
      <c r="AB16" s="26"/>
    </row>
    <row r="17">
      <c r="A17" s="21" t="s">
        <v>997</v>
      </c>
      <c r="B17" s="22" t="s">
        <v>998</v>
      </c>
      <c r="C17" s="23" t="str">
        <f>IFERROR(__xludf.DUMMYFUNCTION("GOOGLETRANSLATE(B17, ""en"", ""fr"")"),"Maître de l'arène")</f>
        <v>Maître de l'arène</v>
      </c>
      <c r="D17" s="23" t="str">
        <f>IFERROR(__xludf.DUMMYFUNCTION("GOOGLETRANSLATE(B17, ""en"", ""es"")"),"Maestro de la arena")</f>
        <v>Maestro de la arena</v>
      </c>
      <c r="E17" s="23" t="s">
        <v>999</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""vi"")"),"Master Arena")</f>
        <v>Master Arena</v>
      </c>
      <c r="L17" s="42" t="str">
        <f>IFERROR(__xludf.DUMMYFUNCTION("GOOGLETRANSLATE(B17, ""en"", ""hr"")"),"Majstor arene")</f>
        <v>Majstor arene</v>
      </c>
      <c r="M17" s="26"/>
      <c r="N17" s="26"/>
      <c r="O17" s="26"/>
      <c r="P17" s="26"/>
      <c r="Q17" s="26"/>
      <c r="R17" s="26"/>
      <c r="S17" s="26"/>
      <c r="T17" s="26"/>
      <c r="U17" s="26"/>
      <c r="V17" s="26"/>
      <c r="W17" s="26"/>
      <c r="X17" s="26"/>
      <c r="Y17" s="26"/>
      <c r="Z17" s="26"/>
      <c r="AA17" s="26"/>
      <c r="AB17" s="26"/>
    </row>
    <row r="18">
      <c r="A18" s="21" t="s">
        <v>1000</v>
      </c>
      <c r="B18" s="22" t="s">
        <v>1001</v>
      </c>
      <c r="C18" s="23" t="str">
        <f>IFERROR(__xludf.DUMMYFUNCTION("GOOGLETRANSLATE(B18, ""en"", ""fr"")"),"Marchand")</f>
        <v>Marchand</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gia")</f>
        <v>Thương gia</v>
      </c>
      <c r="L18" s="42" t="str">
        <f>IFERROR(__xludf.DUMMYFUNCTION("GOOGLETRANSLATE(B18, ""en"", ""hr"")"),"Trgovac")</f>
        <v>Trgovac</v>
      </c>
      <c r="M18" s="26"/>
      <c r="N18" s="26"/>
      <c r="O18" s="26"/>
      <c r="P18" s="26"/>
      <c r="Q18" s="26"/>
      <c r="R18" s="26"/>
      <c r="S18" s="26"/>
      <c r="T18" s="26"/>
      <c r="U18" s="26"/>
      <c r="V18" s="26"/>
      <c r="W18" s="26"/>
      <c r="X18" s="26"/>
      <c r="Y18" s="26"/>
      <c r="Z18" s="26"/>
      <c r="AA18" s="26"/>
      <c r="AB18" s="26"/>
    </row>
    <row r="19">
      <c r="A19" s="21" t="s">
        <v>1002</v>
      </c>
      <c r="B19" s="22" t="s">
        <v>1003</v>
      </c>
      <c r="C19" s="23" t="str">
        <f>IFERROR(__xludf.DUMMYFUNCTION("GOOGLETRANSLATE(B19, ""en"", ""fr"")"),"Marchand de mêlée")</f>
        <v>Marchand de mêlée</v>
      </c>
      <c r="D19" s="23" t="str">
        <f>IFERROR(__xludf.DUMMYFUNCTION("GOOGLETRANSLATE(B19, ""en"", ""es"")"),"Comerciante cuerpo a cuerpo")</f>
        <v>Comerciante cuerpo a cuerpo</v>
      </c>
      <c r="E19" s="23" t="str">
        <f>IFERROR(__xludf.DUMMYFUNCTION("GOOGLETRANSLATE(B19, ""en"", ""ru"")"),"Торговец ближнего боя")</f>
        <v>Торговец ближнего боя</v>
      </c>
      <c r="F19" s="23" t="str">
        <f>IFERROR(__xludf.DUMMYFUNCTION("GOOGLETRANSLATE(B19, ""en"", ""tr"")"),"Yakın dövüş tüccarı")</f>
        <v>Yakın dövüş tüccarı</v>
      </c>
      <c r="G19" s="23" t="str">
        <f>IFERROR(__xludf.DUMMYFUNCTION("GOOGLETRANSLATE(B19, ""en"", ""pt"")"),"Mercador corpo a corpo")</f>
        <v>Mercador corpo a corpo</v>
      </c>
      <c r="H19" s="24" t="str">
        <f>IFERROR(__xludf.DUMMYFUNCTION("GOOGLETRANSLATE(B19, ""en"", ""de"")"),"Nahkampfhändler")</f>
        <v>Nahkampfhändler</v>
      </c>
      <c r="I19" s="23" t="str">
        <f>IFERROR(__xludf.DUMMYFUNCTION("GOOGLETRANSLATE(B19, ""en"", ""pl"")"),"Merchant w zwarciu")</f>
        <v>Merchant w zwarciu</v>
      </c>
      <c r="J19" s="25" t="str">
        <f>IFERROR(__xludf.DUMMYFUNCTION("GOOGLETRANSLATE(B19, ""en"", ""zh"")"),"近战商人")</f>
        <v>近战商人</v>
      </c>
      <c r="K19" s="25" t="str">
        <f>IFERROR(__xludf.DUMMYFUNCTION("GOOGLETRANSLATE(B19, ""en"", ""vi"")"),"Thương gia cận chiến")</f>
        <v>Thương gia cận chiến</v>
      </c>
      <c r="L19" s="42" t="str">
        <f>IFERROR(__xludf.DUMMYFUNCTION("GOOGLETRANSLATE(B19, ""en"", ""hr"")"),"Trgovac")</f>
        <v>Trgovac</v>
      </c>
      <c r="M19" s="26"/>
      <c r="N19" s="26"/>
      <c r="O19" s="26"/>
      <c r="P19" s="26"/>
      <c r="Q19" s="26"/>
      <c r="R19" s="26"/>
      <c r="S19" s="26"/>
      <c r="T19" s="26"/>
      <c r="U19" s="26"/>
      <c r="V19" s="26"/>
      <c r="W19" s="26"/>
      <c r="X19" s="26"/>
      <c r="Y19" s="26"/>
      <c r="Z19" s="26"/>
      <c r="AA19" s="26"/>
      <c r="AB19" s="26"/>
    </row>
    <row r="20">
      <c r="A20" s="21" t="s">
        <v>1004</v>
      </c>
      <c r="B20" s="22" t="s">
        <v>1005</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""ru"")"),"Бросин продавца")</f>
        <v>Бросин продавца</v>
      </c>
      <c r="F20" s="23" t="str">
        <f>IFERROR(__xludf.DUMMYFUNCTION("GOOGLETRANSLATE(B20, ""en"", ""tr"")"),"Menzilli Tüccar")</f>
        <v>Menzilli Tüccar</v>
      </c>
      <c r="G20" s="23" t="str">
        <f>IFERROR(__xludf.DUMMYFUNCTION("GOOGLETRANSLATE(B20, ""en"", ""pt"")"),"Mercador à distância")</f>
        <v>Mercador à distância</v>
      </c>
      <c r="H20" s="24" t="str">
        <f>IFERROR(__xludf.DUMMYFUNCTION("GOOGLETRANSLATE(B20, ""en"", ""de"")"),"Fernhändler")</f>
        <v>Fernhändler</v>
      </c>
      <c r="I20" s="23" t="str">
        <f>IFERROR(__xludf.DUMMYFUNCTION("GOOGLETRANSLATE(B20, ""en"", ""pl"")"),"Merchant dystansowy")</f>
        <v>Merchant dystansowy</v>
      </c>
      <c r="J20" s="25" t="str">
        <f>IFERROR(__xludf.DUMMYFUNCTION("GOOGLETRANSLATE(B20, ""en"", ""zh"")"),"远程商人")</f>
        <v>远程商人</v>
      </c>
      <c r="K20" s="25" t="str">
        <f>IFERROR(__xludf.DUMMYFUNCTION("GOOGLETRANSLATE(B20, ""en"", ""vi"")"),"Merchant tầm xa")</f>
        <v>Merchant tầm xa</v>
      </c>
      <c r="L20" s="42" t="str">
        <f>IFERROR(__xludf.DUMMYFUNCTION("GOOGLETRANSLATE(B20, ""en"", ""hr"")"),"Trgovac")</f>
        <v>Trgovac</v>
      </c>
      <c r="M20" s="26"/>
      <c r="N20" s="26"/>
      <c r="O20" s="26"/>
      <c r="P20" s="26"/>
      <c r="Q20" s="26"/>
      <c r="R20" s="26"/>
      <c r="S20" s="26"/>
      <c r="T20" s="26"/>
      <c r="U20" s="26"/>
      <c r="V20" s="26"/>
      <c r="W20" s="26"/>
      <c r="X20" s="26"/>
      <c r="Y20" s="26"/>
      <c r="Z20" s="26"/>
      <c r="AA20" s="26"/>
      <c r="AB20" s="26"/>
    </row>
    <row r="21">
      <c r="A21" s="21" t="s">
        <v>1006</v>
      </c>
      <c r="B21" s="22" t="s">
        <v>1007</v>
      </c>
      <c r="C21" s="23" t="str">
        <f>IFERROR(__xludf.DUMMYFUNCTION("GOOGLETRANSLATE(B21, ""en"", ""fr"")"),"Marchand magique")</f>
        <v>Marchand magique</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""pt"")"),"Comerciante mágico")</f>
        <v>Comerciante mágico</v>
      </c>
      <c r="H21" s="24" t="str">
        <f>IFERROR(__xludf.DUMMYFUNCTION("GOOGLETRANSLATE(B21, ""en"", ""de"")"),"Zauberhändler")</f>
        <v>Zauberhändler</v>
      </c>
      <c r="I21" s="23" t="str">
        <f>IFERROR(__xludf.DUMMYFUNCTION("GOOGLETRANSLATE(B21, ""en"", ""pl"")"),"Magiczny kupiec")</f>
        <v>Magiczny kupiec</v>
      </c>
      <c r="J21" s="25" t="str">
        <f>IFERROR(__xludf.DUMMYFUNCTION("GOOGLETRANSLATE(B21, ""en"", ""zh"")"),"魔术商人")</f>
        <v>魔术商人</v>
      </c>
      <c r="K21" s="25" t="str">
        <f>IFERROR(__xludf.DUMMYFUNCTION("GOOGLETRANSLATE(B21, ""en"", ""vi"")"),"Thương gia ma thuật")</f>
        <v>Thương gia ma thuật</v>
      </c>
      <c r="L21" s="42" t="str">
        <f>IFERROR(__xludf.DUMMYFUNCTION("GOOGLETRANSLATE(B21, ""en"", ""hr"")"),"Čarobni trgovac")</f>
        <v>Čarobni trgovac</v>
      </c>
      <c r="M21" s="26"/>
      <c r="N21" s="26"/>
      <c r="O21" s="26"/>
      <c r="P21" s="26"/>
      <c r="Q21" s="26"/>
      <c r="R21" s="26"/>
      <c r="S21" s="26"/>
      <c r="T21" s="26"/>
      <c r="U21" s="26"/>
      <c r="V21" s="26"/>
      <c r="W21" s="26"/>
      <c r="X21" s="26"/>
      <c r="Y21" s="26"/>
      <c r="Z21" s="26"/>
      <c r="AA21" s="26"/>
      <c r="AB21" s="26"/>
    </row>
    <row r="22">
      <c r="A22" s="21" t="s">
        <v>1008</v>
      </c>
      <c r="B22" s="22" t="s">
        <v>1009</v>
      </c>
      <c r="C22" s="23" t="str">
        <f>IFERROR(__xludf.DUMMYFUNCTION("GOOGLETRANSLATE(B22, ""en"", ""fr"")"),"Outil marchand")</f>
        <v>Outil marchand</v>
      </c>
      <c r="D22" s="23" t="str">
        <f>IFERROR(__xludf.DUMMYFUNCTION("GOOGLETRANSLATE(B22, ""en"", ""es"")"),"Comerciante de herramientas")</f>
        <v>Comerciante de herramientas</v>
      </c>
      <c r="E22" s="23" t="str">
        <f>IFERROR(__xludf.DUMMYFUNCTION("GOOGLETRANSLATE(B22, ""en"", ""ru"")"),"Продавец инструмента")</f>
        <v>Продавец инструмента</v>
      </c>
      <c r="F22" s="23" t="str">
        <f>IFERROR(__xludf.DUMMYFUNCTION("GOOGLETRANSLATE(B22, ""en"", ""tr"")"),"Araç satıcısı")</f>
        <v>Araç satıcısı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""pl"")"),"Kupca narzędzi")</f>
        <v>Kupca narzędzi</v>
      </c>
      <c r="J22" s="25" t="str">
        <f>IFERROR(__xludf.DUMMYFUNCTION("GOOGLETRANSLATE(B22, ""en"", ""zh"")"),"工具商人")</f>
        <v>工具商人</v>
      </c>
      <c r="K22" s="25" t="str">
        <f>IFERROR(__xludf.DUMMYFUNCTION("GOOGLETRANSLATE(B22, ""en"", ""vi"")"),"Công cụ Merchant")</f>
        <v>Công cụ Merchant</v>
      </c>
      <c r="L22" s="42" t="str">
        <f>IFERROR(__xludf.DUMMYFUNCTION("GOOGLETRANSLATE(B22, ""en"", ""hr"")"),"Trgovac alatom")</f>
        <v>Trgovac alatom</v>
      </c>
      <c r="M22" s="26"/>
      <c r="N22" s="26"/>
      <c r="O22" s="26"/>
      <c r="P22" s="26"/>
      <c r="Q22" s="26"/>
      <c r="R22" s="26"/>
      <c r="S22" s="26"/>
      <c r="T22" s="26"/>
      <c r="U22" s="26"/>
      <c r="V22" s="26"/>
      <c r="W22" s="26"/>
      <c r="X22" s="26"/>
      <c r="Y22" s="26"/>
      <c r="Z22" s="26"/>
      <c r="AA22" s="26"/>
      <c r="AB22" s="26"/>
    </row>
    <row r="23">
      <c r="A23" s="21" t="s">
        <v>1010</v>
      </c>
      <c r="B23" s="22" t="s">
        <v>1011</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""ru"")"),"Дварф продавец")</f>
        <v>Дварф продавец</v>
      </c>
      <c r="F23" s="23" t="str">
        <f>IFERROR(__xludf.DUMMYFUNCTION("GOOGLETRANSLATE(B23, ""en"", ""tr"")"),"Cüce tüccar")</f>
        <v>Cüce tüccar</v>
      </c>
      <c r="G23" s="23" t="str">
        <f>IFERROR(__xludf.DUMMYFUNCTION("GOOGLETRANSLATE(B23, ""en"", ""pt"")"),"Mercador anão")</f>
        <v>Mercador anão</v>
      </c>
      <c r="H23" s="24" t="str">
        <f>IFERROR(__xludf.DUMMYFUNCTION("GOOGLETRANSLATE(B23, ""en"", ""de"")"),"Zwerghändler")</f>
        <v>Zwerghändler</v>
      </c>
      <c r="I23" s="23" t="str">
        <f>IFERROR(__xludf.DUMMYFUNCTION("GOOGLETRANSLATE(B23, ""en"", ""pl"")"),"Kupiec Krasnolud")</f>
        <v>Kupiec Krasnolud</v>
      </c>
      <c r="J23" s="25" t="str">
        <f>IFERROR(__xludf.DUMMYFUNCTION("GOOGLETRANSLATE(B23, ""en"", ""zh"")"),"矮人商人")</f>
        <v>矮人商人</v>
      </c>
      <c r="K23" s="25" t="str">
        <f>IFERROR(__xludf.DUMMYFUNCTION("GOOGLETRANSLATE(B23, ""en"", ""vi"")"),"Người bán hàng lùn")</f>
        <v>Người bán hàng lùn</v>
      </c>
      <c r="L23" s="42" t="str">
        <f>IFERROR(__xludf.DUMMYFUNCTION("GOOGLETRANSLATE(B23, ""en"", ""hr"")"),"Trgovac")</f>
        <v>Trgovac</v>
      </c>
      <c r="M23" s="26"/>
      <c r="N23" s="26"/>
      <c r="O23" s="26"/>
      <c r="P23" s="26"/>
      <c r="Q23" s="26"/>
      <c r="R23" s="26"/>
      <c r="S23" s="26"/>
      <c r="T23" s="26"/>
      <c r="U23" s="26"/>
      <c r="V23" s="26"/>
      <c r="W23" s="26"/>
      <c r="X23" s="26"/>
      <c r="Y23" s="26"/>
      <c r="Z23" s="26"/>
      <c r="AA23" s="26"/>
      <c r="AB23" s="26"/>
    </row>
    <row r="24">
      <c r="A24" s="21" t="s">
        <v>1012</v>
      </c>
      <c r="B24" s="22" t="s">
        <v>1013</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""zh"")"),"图书馆员")</f>
        <v>图书馆员</v>
      </c>
      <c r="K24" s="25" t="str">
        <f>IFERROR(__xludf.DUMMYFUNCTION("GOOGLETRANSLATE(B24, ""en"", ""vi"")"),"Thủ thư")</f>
        <v>Thủ thư</v>
      </c>
      <c r="L24" s="42" t="str">
        <f>IFERROR(__xludf.DUMMYFUNCTION("GOOGLETRANSLATE(B24, ""en"", ""hr"")"),"Bibliotekar")</f>
        <v>Bibliotekar</v>
      </c>
      <c r="M24" s="26"/>
      <c r="N24" s="26"/>
      <c r="O24" s="26"/>
      <c r="P24" s="26"/>
      <c r="Q24" s="26"/>
      <c r="R24" s="26"/>
      <c r="S24" s="26"/>
      <c r="T24" s="26"/>
      <c r="U24" s="26"/>
      <c r="V24" s="26"/>
      <c r="W24" s="26"/>
      <c r="X24" s="26"/>
      <c r="Y24" s="26"/>
      <c r="Z24" s="26"/>
      <c r="AA24" s="26"/>
      <c r="AB24" s="26"/>
    </row>
    <row r="25">
      <c r="A25" s="21" t="s">
        <v>1014</v>
      </c>
      <c r="B25" s="22" t="s">
        <v>1015</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""ru"")"),"Омни Торговец")</f>
        <v>Омни Торговец</v>
      </c>
      <c r="F25" s="23" t="str">
        <f>IFERROR(__xludf.DUMMYFUNCTION("GOOGLETRANSLATE(B25, ""en"", ""tr"")"),"Omni Tüccar")</f>
        <v>Omni Tüccar</v>
      </c>
      <c r="G25" s="23" t="str">
        <f>IFERROR(__xludf.DUMMYFUNCTION("GOOGLETRANSLATE(B25, ""en"", ""pt"")"),"Omni Merchant")</f>
        <v>Omni Merchant</v>
      </c>
      <c r="H25" s="24" t="str">
        <f>IFERROR(__xludf.DUMMYFUNCTION("GOOGLETRANSLATE(B25, ""en"", ""de"")"),"Omni -Kaufmann")</f>
        <v>Omni -Kaufmann</v>
      </c>
      <c r="I25" s="23" t="str">
        <f>IFERROR(__xludf.DUMMYFUNCTION("GOOGLETRANSLATE(B25, ""en"", ""pl"")"),"Merchant Omni")</f>
        <v>Merchant Omni</v>
      </c>
      <c r="J25" s="25" t="str">
        <f>IFERROR(__xludf.DUMMYFUNCTION("GOOGLETRANSLATE(B25, ""en"", ""zh"")"),"Omni商人")</f>
        <v>Omni商人</v>
      </c>
      <c r="K25" s="25" t="str">
        <f>IFERROR(__xludf.DUMMYFUNCTION("GOOGLETRANSLATE(B25, ""en"", ""vi"")"),"Merchant Omni")</f>
        <v>Merchant Omni</v>
      </c>
      <c r="L25" s="42" t="str">
        <f>IFERROR(__xludf.DUMMYFUNCTION("GOOGLETRANSLATE(B25, ""en"", ""hr"")"),"Omni trgovac")</f>
        <v>Omni trgovac</v>
      </c>
      <c r="M25" s="26"/>
      <c r="N25" s="26"/>
      <c r="O25" s="26"/>
      <c r="P25" s="26"/>
      <c r="Q25" s="26"/>
      <c r="R25" s="26"/>
      <c r="S25" s="26"/>
      <c r="T25" s="26"/>
      <c r="U25" s="26"/>
      <c r="V25" s="26"/>
      <c r="W25" s="26"/>
      <c r="X25" s="26"/>
      <c r="Y25" s="26"/>
      <c r="Z25" s="26"/>
      <c r="AA25" s="26"/>
      <c r="AB25" s="26"/>
    </row>
    <row r="26">
      <c r="A26" s="21" t="s">
        <v>1016</v>
      </c>
      <c r="B26" s="22" t="s">
        <v>1017</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42" t="str">
        <f>IFERROR(__xludf.DUMMYFUNCTION("GOOGLETRANSLATE(B26, ""en"", ""hr"")"),"Svećenik")</f>
        <v>Svećenik</v>
      </c>
      <c r="M26" s="26"/>
      <c r="N26" s="26"/>
      <c r="O26" s="26"/>
      <c r="P26" s="26"/>
      <c r="Q26" s="26"/>
      <c r="R26" s="26"/>
      <c r="S26" s="26"/>
      <c r="T26" s="26"/>
      <c r="U26" s="26"/>
      <c r="V26" s="26"/>
      <c r="W26" s="26"/>
      <c r="X26" s="26"/>
      <c r="Y26" s="26"/>
      <c r="Z26" s="26"/>
      <c r="AA26" s="26"/>
      <c r="AB26" s="26"/>
    </row>
    <row r="27">
      <c r="A27" s="21" t="s">
        <v>1018</v>
      </c>
      <c r="B27" s="22" t="s">
        <v>1019</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""vi"")"),"Người dân")</f>
        <v>Người dân</v>
      </c>
      <c r="L27" s="42" t="str">
        <f>IFERROR(__xludf.DUMMYFUNCTION("GOOGLETRANSLATE(B27, ""en"", ""hr"")"),"Građanin")</f>
        <v>Građanin</v>
      </c>
      <c r="M27" s="26"/>
      <c r="N27" s="26"/>
      <c r="O27" s="26"/>
      <c r="P27" s="26"/>
      <c r="Q27" s="26"/>
      <c r="R27" s="26"/>
      <c r="S27" s="26"/>
      <c r="T27" s="26"/>
      <c r="U27" s="26"/>
      <c r="V27" s="26"/>
      <c r="W27" s="26"/>
      <c r="X27" s="26"/>
      <c r="Y27" s="26"/>
      <c r="Z27" s="26"/>
      <c r="AA27" s="26"/>
      <c r="AB27" s="26"/>
    </row>
    <row r="28">
      <c r="A28" s="21" t="s">
        <v>1020</v>
      </c>
      <c r="B28" s="22" t="s">
        <v>1021</v>
      </c>
      <c r="C28" s="23" t="str">
        <f>IFERROR(__xludf.DUMMYFUNCTION("GOOGLETRANSLATE(B28, ""en"", ""fr"")"),"Nain")</f>
        <v>Nain</v>
      </c>
      <c r="D28" s="23" t="str">
        <f>IFERROR(__xludf.DUMMYFUNCTION("GOOGLETRANSLATE(B28, ""en"", ""es"")"),"Enano")</f>
        <v>Enano</v>
      </c>
      <c r="E28" s="23" t="str">
        <f>IFERROR(__xludf.DUMMYFUNCTION("GOOGLETRANSLATE(B28, ""en"", ""ru"")"),"Карликовая")</f>
        <v>Карликовая</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42" t="str">
        <f>IFERROR(__xludf.DUMMYFUNCTION("GOOGLETRANSLATE(B28, ""en"", ""hr"")"),"Patuljak")</f>
        <v>Patuljak</v>
      </c>
      <c r="M28" s="26"/>
      <c r="N28" s="26"/>
      <c r="O28" s="26"/>
      <c r="P28" s="26"/>
      <c r="Q28" s="26"/>
      <c r="R28" s="26"/>
      <c r="S28" s="26"/>
      <c r="T28" s="26"/>
      <c r="U28" s="26"/>
      <c r="V28" s="26"/>
      <c r="W28" s="26"/>
      <c r="X28" s="26"/>
      <c r="Y28" s="26"/>
      <c r="Z28" s="26"/>
      <c r="AA28" s="26"/>
      <c r="AB28" s="26"/>
    </row>
    <row r="29">
      <c r="A29" s="21" t="s">
        <v>1022</v>
      </c>
      <c r="B29" s="22" t="s">
        <v>1023</v>
      </c>
      <c r="C29" s="23" t="str">
        <f>IFERROR(__xludf.DUMMYFUNCTION("GOOGLETRANSLATE(B29, ""en"", ""fr"")"),"Guerrier nain")</f>
        <v>Guerrier nain</v>
      </c>
      <c r="D29" s="23" t="str">
        <f>IFERROR(__xludf.DUMMYFUNCTION("GOOGLETRANSLATE(B29, ""en"", ""es"")"),"Guerrero enano")</f>
        <v>Guerrero enano</v>
      </c>
      <c r="E29" s="23" t="str">
        <f>IFERROR(__xludf.DUMMYFUNCTION("GOOGLETRANSLATE(B29, ""en"", ""ru"")"),"Карликовый воин")</f>
        <v>Карликовый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""de"")"),"Zwergkrieger")</f>
        <v>Zwergkrieger</v>
      </c>
      <c r="I29" s="23" t="str">
        <f>IFERROR(__xludf.DUMMYFUNCTION("GOOGLETRANSLATE(B29, ""en"", ""pl"")"),"Wojownik krasnoludów")</f>
        <v>Wojownik krasnoludów</v>
      </c>
      <c r="J29" s="25" t="str">
        <f>IFERROR(__xludf.DUMMYFUNCTION("GOOGLETRANSLATE(B29, ""en"", ""zh"")"),"矮人战士")</f>
        <v>矮人战士</v>
      </c>
      <c r="K29" s="25" t="str">
        <f>IFERROR(__xludf.DUMMYFUNCTION("GOOGLETRANSLATE(B29, ""en"", ""vi"")"),"Chiến binh lùn")</f>
        <v>Chiến binh lùn</v>
      </c>
      <c r="L29" s="42" t="str">
        <f>IFERROR(__xludf.DUMMYFUNCTION("GOOGLETRANSLATE(B29, ""en"", ""hr"")"),"Patuljasti ratnik")</f>
        <v>Patuljasti ratnik</v>
      </c>
      <c r="M29" s="26"/>
      <c r="N29" s="26"/>
      <c r="O29" s="26"/>
      <c r="P29" s="26"/>
      <c r="Q29" s="26"/>
      <c r="R29" s="26"/>
      <c r="S29" s="26"/>
      <c r="T29" s="26"/>
      <c r="U29" s="26"/>
      <c r="V29" s="26"/>
      <c r="W29" s="26"/>
      <c r="X29" s="26"/>
      <c r="Y29" s="26"/>
      <c r="Z29" s="26"/>
      <c r="AA29" s="26"/>
      <c r="AB29" s="26"/>
    </row>
    <row r="30">
      <c r="A30" s="21" t="s">
        <v>1024</v>
      </c>
      <c r="B30" s="22" t="s">
        <v>1025</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""ru"")"),"Дварф Рыцарь")</f>
        <v>Дварф Рыцарь</v>
      </c>
      <c r="F30" s="23" t="str">
        <f>IFERROR(__xludf.DUMMYFUNCTION("GOOGLETRANSLATE(B30, ""en"", ""tr"")"),"Cüce şövalye")</f>
        <v>Cüce şövalye</v>
      </c>
      <c r="G30" s="23" t="str">
        <f>IFERROR(__xludf.DUMMYFUNCTION("GOOGLETRANSLATE(B30, ""en"", ""pt"")"),"Cavaleiro anão")</f>
        <v>Cavaleiro anão</v>
      </c>
      <c r="H30" s="24" t="str">
        <f>IFERROR(__xludf.DUMMYFUNCTION("GOOGLETRANSLATE(B30, ""en"", ""de"")"),"Zwergritter")</f>
        <v>Zwergritter</v>
      </c>
      <c r="I30" s="23" t="str">
        <f>IFERROR(__xludf.DUMMYFUNCTION("GOOGLETRANSLATE(B30, ""en"", ""pl"")"),"Knight krasnolud")</f>
        <v>Knight krasnolud</v>
      </c>
      <c r="J30" s="25" t="str">
        <f>IFERROR(__xludf.DUMMYFUNCTION("GOOGLETRANSLATE(B30, ""en"", ""zh"")"),"矮骑士")</f>
        <v>矮骑士</v>
      </c>
      <c r="K30" s="25" t="str">
        <f>IFERROR(__xludf.DUMMYFUNCTION("GOOGLETRANSLATE(B30, ""en"", ""vi"")"),"Dwarf Knight")</f>
        <v>Dwarf Knight</v>
      </c>
      <c r="L30" s="42" t="str">
        <f>IFERROR(__xludf.DUMMYFUNCTION("GOOGLETRANSLATE(B30, ""en"", ""hr"")"),"Patuljak")</f>
        <v>Patuljak</v>
      </c>
      <c r="M30" s="26"/>
      <c r="N30" s="26"/>
      <c r="O30" s="26"/>
      <c r="P30" s="26"/>
      <c r="Q30" s="26"/>
      <c r="R30" s="26"/>
      <c r="S30" s="26"/>
      <c r="T30" s="26"/>
      <c r="U30" s="26"/>
      <c r="V30" s="26"/>
      <c r="W30" s="26"/>
      <c r="X30" s="26"/>
      <c r="Y30" s="26"/>
      <c r="Z30" s="26"/>
      <c r="AA30" s="26"/>
      <c r="AB30" s="26"/>
    </row>
    <row r="31">
      <c r="A31" s="21" t="s">
        <v>1026</v>
      </c>
      <c r="B31" s="22" t="s">
        <v>1027</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42" t="str">
        <f>IFERROR(__xludf.DUMMYFUNCTION("GOOGLETRANSLATE(B31, ""en"", ""hr"")"),"Vitez")</f>
        <v>Vitez</v>
      </c>
      <c r="M31" s="26"/>
      <c r="N31" s="26"/>
      <c r="O31" s="26"/>
      <c r="P31" s="26"/>
      <c r="Q31" s="26"/>
      <c r="R31" s="26"/>
      <c r="S31" s="26"/>
      <c r="T31" s="26"/>
      <c r="U31" s="26"/>
      <c r="V31" s="26"/>
      <c r="W31" s="26"/>
      <c r="X31" s="26"/>
      <c r="Y31" s="26"/>
      <c r="Z31" s="26"/>
      <c r="AA31" s="26"/>
      <c r="AB31" s="26"/>
    </row>
    <row r="32">
      <c r="A32" s="21" t="s">
        <v>1028</v>
      </c>
      <c r="B32" s="22" t="s">
        <v>1029</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42" t="str">
        <f>IFERROR(__xludf.DUMMYFUNCTION("GOOGLETRANSLATE(B32, ""en"", ""hr"")"),"Zapovjednik")</f>
        <v>Zapovjednik</v>
      </c>
      <c r="M32" s="26"/>
      <c r="N32" s="26"/>
      <c r="O32" s="26"/>
      <c r="P32" s="26"/>
      <c r="Q32" s="26"/>
      <c r="R32" s="26"/>
      <c r="S32" s="26"/>
      <c r="T32" s="26"/>
      <c r="U32" s="26"/>
      <c r="V32" s="26"/>
      <c r="W32" s="26"/>
      <c r="X32" s="26"/>
      <c r="Y32" s="26"/>
      <c r="Z32" s="26"/>
      <c r="AA32" s="26"/>
      <c r="AB32" s="26"/>
    </row>
    <row r="33">
      <c r="A33" s="21" t="s">
        <v>1030</v>
      </c>
      <c r="B33" s="22" t="s">
        <v>1031</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42" t="str">
        <f>IFERROR(__xludf.DUMMYFUNCTION("GOOGLETRANSLATE(B33, ""en"", ""hr"")"),"Ratnik")</f>
        <v>Ratnik</v>
      </c>
      <c r="M33" s="26"/>
      <c r="N33" s="26"/>
      <c r="O33" s="26"/>
      <c r="P33" s="26"/>
      <c r="Q33" s="26"/>
      <c r="R33" s="26"/>
      <c r="S33" s="26"/>
      <c r="T33" s="26"/>
      <c r="U33" s="26"/>
      <c r="V33" s="26"/>
      <c r="W33" s="26"/>
      <c r="X33" s="26"/>
      <c r="Y33" s="26"/>
      <c r="Z33" s="26"/>
      <c r="AA33" s="26"/>
      <c r="AB33" s="26"/>
    </row>
    <row r="34">
      <c r="A34" s="21" t="s">
        <v>1032</v>
      </c>
      <c r="B34" s="22" t="s">
        <v>1033</v>
      </c>
      <c r="C34" s="23" t="str">
        <f>IFERROR(__xludf.DUMMYFUNCTION("GOOGLETRANSLATE(B34, ""en"", ""fr"")"),"Berserker")</f>
        <v>Berserker</v>
      </c>
      <c r="D34" s="23" t="str">
        <f>IFERROR(__xludf.DUMMYFUNCTION("GOOGLETRANSLATE(B34, ""en"", ""es"")"),"frenético")</f>
        <v>frenético</v>
      </c>
      <c r="E34" s="23" t="str">
        <f>IFERROR(__xludf.DUMMYFUNCTION("GOOGLETRANSLATE(B34, ""en"", ""ru"")"),"Берсеркер")</f>
        <v>Берсеркер</v>
      </c>
      <c r="F34" s="23" t="str">
        <f>IFERROR(__xludf.DUMMYFUNCTION("GOOGLETRANSLATE(B34, ""en"", ""tr"")"),"Çatal")</f>
        <v>Çatal</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""zh"")"),"狂战士")</f>
        <v>狂战士</v>
      </c>
      <c r="K34" s="25" t="str">
        <f>IFERROR(__xludf.DUMMYFUNCTION("GOOGLETRANSLATE(B34, ""en"", ""vi"")"),"Berserker")</f>
        <v>Berserker</v>
      </c>
      <c r="L34" s="42" t="str">
        <f>IFERROR(__xludf.DUMMYFUNCTION("GOOGLETRANSLATE(B34, ""en"", ""hr"")"),"Ludak")</f>
        <v>Ludak</v>
      </c>
      <c r="M34" s="26"/>
      <c r="N34" s="26"/>
      <c r="O34" s="26"/>
      <c r="P34" s="26"/>
      <c r="Q34" s="26"/>
      <c r="R34" s="26"/>
      <c r="S34" s="26"/>
      <c r="T34" s="26"/>
      <c r="U34" s="26"/>
      <c r="V34" s="26"/>
      <c r="W34" s="26"/>
      <c r="X34" s="26"/>
      <c r="Y34" s="26"/>
      <c r="Z34" s="26"/>
      <c r="AA34" s="26"/>
      <c r="AB34" s="26"/>
    </row>
    <row r="35">
      <c r="A35" s="21" t="s">
        <v>1034</v>
      </c>
      <c r="B35" s="22" t="s">
        <v>1035</v>
      </c>
      <c r="C35" s="23" t="str">
        <f>IFERROR(__xludf.DUMMYFUNCTION("GOOGLETRANSLATE(B35, ""en"", ""fr"")"),"Prisonnier")</f>
        <v>Prisonnier</v>
      </c>
      <c r="D35" s="23" t="str">
        <f>IFERROR(__xludf.DUMMYFUNCTION("GOOGLETRANSLATE(B35, ""en"", ""es"")"),"Prisionero")</f>
        <v>Prisionero</v>
      </c>
      <c r="E35" s="23" t="str">
        <f>IFERROR(__xludf.DUMMYFUNCTION("GOOGLETRANSLATE(B35, ""en"", ""ru"")"),"В плену")</f>
        <v>В плену</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42" t="str">
        <f>IFERROR(__xludf.DUMMYFUNCTION("GOOGLETRANSLATE(B35, ""en"", ""hr"")"),"Zatvorenik")</f>
        <v>Zatvorenik</v>
      </c>
      <c r="M35" s="26"/>
      <c r="N35" s="26"/>
      <c r="O35" s="26"/>
      <c r="P35" s="26"/>
      <c r="Q35" s="26"/>
      <c r="R35" s="26"/>
      <c r="S35" s="26"/>
      <c r="T35" s="26"/>
      <c r="U35" s="26"/>
      <c r="V35" s="26"/>
      <c r="W35" s="26"/>
      <c r="X35" s="26"/>
      <c r="Y35" s="26"/>
      <c r="Z35" s="26"/>
      <c r="AA35" s="26"/>
      <c r="AB35" s="26"/>
    </row>
    <row r="36">
      <c r="A36" s="21" t="s">
        <v>1036</v>
      </c>
      <c r="B36" s="22" t="s">
        <v>1037</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42" t="str">
        <f>IFERROR(__xludf.DUMMYFUNCTION("GOOGLETRANSLATE(B36, ""en"", ""hr"")"),"Štakor")</f>
        <v>Štakor</v>
      </c>
      <c r="M36" s="26"/>
      <c r="N36" s="26"/>
      <c r="O36" s="26"/>
      <c r="P36" s="26"/>
      <c r="Q36" s="26"/>
      <c r="R36" s="26"/>
      <c r="S36" s="26"/>
      <c r="T36" s="26"/>
      <c r="U36" s="26"/>
      <c r="V36" s="26"/>
      <c r="W36" s="26"/>
      <c r="X36" s="26"/>
      <c r="Y36" s="26"/>
      <c r="Z36" s="26"/>
      <c r="AA36" s="26"/>
      <c r="AB36" s="26"/>
    </row>
    <row r="37">
      <c r="A37" s="21" t="s">
        <v>1038</v>
      </c>
      <c r="B37" s="22" t="s">
        <v>1039</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42" t="str">
        <f>IFERROR(__xludf.DUMMYFUNCTION("GOOGLETRANSLATE(B37, ""en"", ""hr"")"),"Sokol")</f>
        <v>Sokol</v>
      </c>
      <c r="M37" s="26"/>
      <c r="N37" s="26"/>
      <c r="O37" s="26"/>
      <c r="P37" s="26"/>
      <c r="Q37" s="26"/>
      <c r="R37" s="26"/>
      <c r="S37" s="26"/>
      <c r="T37" s="26"/>
      <c r="U37" s="26"/>
      <c r="V37" s="26"/>
      <c r="W37" s="26"/>
      <c r="X37" s="26"/>
      <c r="Y37" s="26"/>
      <c r="Z37" s="26"/>
      <c r="AA37" s="26"/>
      <c r="AB37" s="26"/>
    </row>
    <row r="38">
      <c r="A38" s="21" t="s">
        <v>1040</v>
      </c>
      <c r="B38" s="22" t="s">
        <v>1041</v>
      </c>
      <c r="C38" s="23" t="str">
        <f>IFERROR(__xludf.DUMMYFUNCTION("GOOGLETRANSLATE(B38, ""en"", ""fr"")"),"Écume de sable")</f>
        <v>Écume de sable</v>
      </c>
      <c r="D38" s="23" t="str">
        <f>IFERROR(__xludf.DUMMYFUNCTION("GOOGLETRANSLATE(B38, ""en"", ""es"")"),"Chorro de arena")</f>
        <v>Chorro de arena</v>
      </c>
      <c r="E38" s="23" t="str">
        <f>IFERROR(__xludf.DUMMYFUNCTION("GOOGLETRANSLATE(B38, ""en"", ""ru"")"),"Песчаный мошенник")</f>
        <v>Песчаный мошенник</v>
      </c>
      <c r="F38" s="23" t="str">
        <f>IFERROR(__xludf.DUMMYFUNCTION("GOOGLETRANSLATE(B38, ""en"", ""tr"")"),"Kum scamp")</f>
        <v>Kum scamp</v>
      </c>
      <c r="G38" s="23" t="str">
        <f>IFERROR(__xludf.DUMMYFUNCTION("GOOGLETRANSLATE(B38, ""en"", ""pt"")"),"Sand Scamp")</f>
        <v>Sand Scamp</v>
      </c>
      <c r="H38" s="24" t="str">
        <f>IFERROR(__xludf.DUMMYFUNCTION("GOOGLETRANSLATE(B38, ""en"", ""de"")"),"Sand Scamp")</f>
        <v>Sand Scamp</v>
      </c>
      <c r="I38" s="23" t="str">
        <f>IFERROR(__xludf.DUMMYFUNCTION("GOOGLETRANSLATE(B38, ""en"", ""pl"")"),"Piasek")</f>
        <v>Piasek</v>
      </c>
      <c r="J38" s="25" t="str">
        <f>IFERROR(__xludf.DUMMYFUNCTION("GOOGLETRANSLATE(B38, ""en"", ""zh"")"),"砂sc")</f>
        <v>砂sc</v>
      </c>
      <c r="K38" s="25" t="str">
        <f>IFERROR(__xludf.DUMMYFUNCTION("GOOGLETRANSLATE(B38, ""en"", ""vi"")"),"Cát")</f>
        <v>Cát</v>
      </c>
      <c r="L38" s="42" t="str">
        <f>IFERROR(__xludf.DUMMYFUNCTION("GOOGLETRANSLATE(B38, ""en"", ""hr"")"),"Pješčanik")</f>
        <v>Pješčanik</v>
      </c>
      <c r="M38" s="26"/>
      <c r="N38" s="26"/>
      <c r="O38" s="26"/>
      <c r="P38" s="26"/>
      <c r="Q38" s="26"/>
      <c r="R38" s="26"/>
      <c r="S38" s="26"/>
      <c r="T38" s="26"/>
      <c r="U38" s="26"/>
      <c r="V38" s="26"/>
      <c r="W38" s="26"/>
      <c r="X38" s="26"/>
      <c r="Y38" s="26"/>
      <c r="Z38" s="26"/>
      <c r="AA38" s="26"/>
      <c r="AB38" s="26"/>
    </row>
    <row r="39">
      <c r="A39" s="21" t="s">
        <v>1042</v>
      </c>
      <c r="B39" s="22" t="s">
        <v>1043</v>
      </c>
      <c r="C39" s="23" t="str">
        <f>IFERROR(__xludf.DUMMYFUNCTION("GOOGLETRANSLATE(B39, ""en"", ""fr"")"),"Scamp d'herbe")</f>
        <v>Scamp d'herbe</v>
      </c>
      <c r="D39" s="23" t="str">
        <f>IFERROR(__xludf.DUMMYFUNCTION("GOOGLETRANSLATE(B39, ""en"", ""es"")"),"Chaveta")</f>
        <v>Chaveta</v>
      </c>
      <c r="E39" s="23" t="str">
        <f>IFERROR(__xludf.DUMMYFUNCTION("GOOGLETRANSLATE(B39, ""en"", ""ru"")"),"Травяной мошенник")</f>
        <v>Травяной мошенник</v>
      </c>
      <c r="F39" s="23" t="str">
        <f>IFERROR(__xludf.DUMMYFUNCTION("GOOGLETRANSLATE(B39, ""en"", ""tr"")"),"Çim Scamp")</f>
        <v>Çim Scamp</v>
      </c>
      <c r="G39" s="23" t="str">
        <f>IFERROR(__xludf.DUMMYFUNCTION("GOOGLETRANSLATE(B39, ""en"", ""pt"")"),"Grass Scamp")</f>
        <v>Grass Scamp</v>
      </c>
      <c r="H39" s="24" t="str">
        <f>IFERROR(__xludf.DUMMYFUNCTION("GOOGLETRANSLATE(B39, ""en"", ""de"")"),"Basis")</f>
        <v>Basis</v>
      </c>
      <c r="I39" s="23" t="str">
        <f>IFERROR(__xludf.DUMMYFUNCTION("GOOGLETRANSLATE(B39, ""en"", ""pl"")"),"Trawiaste łopatki")</f>
        <v>Trawiaste łopatki</v>
      </c>
      <c r="J39" s="25" t="str">
        <f>IFERROR(__xludf.DUMMYFUNCTION("GOOGLETRANSLATE(B39, ""en"", ""zh"")"),"草sc")</f>
        <v>草sc</v>
      </c>
      <c r="K39" s="25" t="str">
        <f>IFERROR(__xludf.DUMMYFUNCTION("GOOGLETRANSLATE(B39, ""en"", ""vi"")"),"Cỏ Scamp")</f>
        <v>Cỏ Scamp</v>
      </c>
      <c r="L39" s="42" t="str">
        <f>IFERROR(__xludf.DUMMYFUNCTION("GOOGLETRANSLATE(B39, ""en"", ""hr"")"),"Trava")</f>
        <v>Trava</v>
      </c>
      <c r="M39" s="26"/>
      <c r="N39" s="26"/>
      <c r="O39" s="26"/>
      <c r="P39" s="26"/>
      <c r="Q39" s="26"/>
      <c r="R39" s="26"/>
      <c r="S39" s="26"/>
      <c r="T39" s="26"/>
      <c r="U39" s="26"/>
      <c r="V39" s="26"/>
      <c r="W39" s="26"/>
      <c r="X39" s="26"/>
      <c r="Y39" s="26"/>
      <c r="Z39" s="26"/>
      <c r="AA39" s="26"/>
      <c r="AB39" s="26"/>
    </row>
    <row r="40">
      <c r="A40" s="21" t="s">
        <v>1044</v>
      </c>
      <c r="B40" s="22" t="s">
        <v>1045</v>
      </c>
      <c r="C40" s="23" t="str">
        <f>IFERROR(__xludf.DUMMYFUNCTION("GOOGLETRANSLATE(B40, ""en"", ""fr"")"),"Étincelle de neige")</f>
        <v>Étincelle de neige</v>
      </c>
      <c r="D40" s="23" t="str">
        <f>IFERROR(__xludf.DUMMYFUNCTION("GOOGLETRANSLATE(B40, ""en"", ""es"")"),"Nieve")</f>
        <v>Nieve</v>
      </c>
      <c r="E40" s="23" t="str">
        <f>IFERROR(__xludf.DUMMYFUNCTION("GOOGLETRANSLATE(B40, ""en"", ""ru"")"),"Снежный мошенник")</f>
        <v>Снежный мошенник</v>
      </c>
      <c r="F40" s="23" t="str">
        <f>IFERROR(__xludf.DUMMYFUNCTION("GOOGLETRANSLATE(B40, ""en"", ""tr"")"),"Kar yağışı")</f>
        <v>Kar yağışı</v>
      </c>
      <c r="G40" s="23" t="str">
        <f>IFERROR(__xludf.DUMMYFUNCTION("GOOGLETRANSLATE(B40, ""en"", ""pt"")"),"Snow Scamp")</f>
        <v>Snow Scamp</v>
      </c>
      <c r="H40" s="24" t="str">
        <f>IFERROR(__xludf.DUMMYFUNCTION("GOOGLETRANSLATE(B40, ""en"", ""de"")"),"Schnee Scamp")</f>
        <v>Schnee Scamp</v>
      </c>
      <c r="I40" s="23" t="str">
        <f>IFERROR(__xludf.DUMMYFUNCTION("GOOGLETRANSLATE(B40, ""en"", ""pl"")"),"Snow Scamp")</f>
        <v>Snow Scamp</v>
      </c>
      <c r="J40" s="25" t="str">
        <f>IFERROR(__xludf.DUMMYFUNCTION("GOOGLETRANSLATE(B40, ""en"", ""zh"")"),"雪地")</f>
        <v>雪地</v>
      </c>
      <c r="K40" s="25" t="str">
        <f>IFERROR(__xludf.DUMMYFUNCTION("GOOGLETRANSLATE(B40, ""en"", ""vi"")"),"Tuyết rơi")</f>
        <v>Tuyết rơi</v>
      </c>
      <c r="L40" s="42" t="str">
        <f>IFERROR(__xludf.DUMMYFUNCTION("GOOGLETRANSLATE(B40, ""en"", ""hr"")"),"Snježna skica")</f>
        <v>Snježna skica</v>
      </c>
      <c r="M40" s="26"/>
      <c r="N40" s="26"/>
      <c r="O40" s="26"/>
      <c r="P40" s="26"/>
      <c r="Q40" s="26"/>
      <c r="R40" s="26"/>
      <c r="S40" s="26"/>
      <c r="T40" s="26"/>
      <c r="U40" s="26"/>
      <c r="V40" s="26"/>
      <c r="W40" s="26"/>
      <c r="X40" s="26"/>
      <c r="Y40" s="26"/>
      <c r="Z40" s="26"/>
      <c r="AA40" s="26"/>
      <c r="AB40" s="26"/>
    </row>
    <row r="41">
      <c r="A41" s="21" t="s">
        <v>1046</v>
      </c>
      <c r="B41" s="22" t="s">
        <v>1047</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42" t="str">
        <f>IFERROR(__xludf.DUMMYFUNCTION("GOOGLETRANSLATE(B41, ""en"", ""hr"")"),"Zao")</f>
        <v>Zao</v>
      </c>
      <c r="M41" s="26"/>
      <c r="N41" s="26"/>
      <c r="O41" s="26"/>
      <c r="P41" s="26"/>
      <c r="Q41" s="26"/>
      <c r="R41" s="26"/>
      <c r="S41" s="26"/>
      <c r="T41" s="26"/>
      <c r="U41" s="26"/>
      <c r="V41" s="26"/>
      <c r="W41" s="26"/>
      <c r="X41" s="26"/>
      <c r="Y41" s="26"/>
      <c r="Z41" s="26"/>
      <c r="AA41" s="26"/>
      <c r="AB41" s="26"/>
    </row>
    <row r="42">
      <c r="A42" s="21" t="s">
        <v>1048</v>
      </c>
      <c r="B42" s="22" t="s">
        <v>1049</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42" t="str">
        <f>IFERROR(__xludf.DUMMYFUNCTION("GOOGLETRANSLATE(B42, ""en"", ""hr"")"),"druid")</f>
        <v>druid</v>
      </c>
      <c r="M42" s="26"/>
      <c r="N42" s="26"/>
      <c r="O42" s="26"/>
      <c r="P42" s="26"/>
      <c r="Q42" s="26"/>
      <c r="R42" s="26"/>
      <c r="S42" s="26"/>
      <c r="T42" s="26"/>
      <c r="U42" s="26"/>
      <c r="V42" s="26"/>
      <c r="W42" s="26"/>
      <c r="X42" s="26"/>
      <c r="Y42" s="26"/>
      <c r="Z42" s="26"/>
      <c r="AA42" s="26"/>
      <c r="AB42" s="26"/>
    </row>
    <row r="43">
      <c r="A43" s="21" t="s">
        <v>1050</v>
      </c>
      <c r="B43" s="22" t="s">
        <v>1051</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42" t="str">
        <f>IFERROR(__xludf.DUMMYFUNCTION("GOOGLETRANSLATE(B43, ""en"", ""hr"")"),"Stariji")</f>
        <v>Stariji</v>
      </c>
      <c r="M43" s="26"/>
      <c r="N43" s="26"/>
      <c r="O43" s="26"/>
      <c r="P43" s="26"/>
      <c r="Q43" s="26"/>
      <c r="R43" s="26"/>
      <c r="S43" s="26"/>
      <c r="T43" s="26"/>
      <c r="U43" s="26"/>
      <c r="V43" s="26"/>
      <c r="W43" s="26"/>
      <c r="X43" s="26"/>
      <c r="Y43" s="26"/>
      <c r="Z43" s="26"/>
      <c r="AA43" s="26"/>
      <c r="AB43" s="26"/>
    </row>
    <row r="44">
      <c r="A44" s="21" t="s">
        <v>1052</v>
      </c>
      <c r="B44" s="22" t="s">
        <v>1053</v>
      </c>
      <c r="C44" s="23" t="str">
        <f>IFERROR(__xludf.DUMMYFUNCTION("GOOGLETRANSLATE(B44, ""en"", ""fr"")"),"Snoovir")</f>
        <v>Snoovir</v>
      </c>
      <c r="D44" s="23" t="str">
        <f>IFERROR(__xludf.DUMMYFUNCTION("GOOGLETRANSLATE(B44, ""en"", ""es"")"),"Snoovir")</f>
        <v>Snoovir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""zh"")"),"斯诺维尔")</f>
        <v>斯诺维尔</v>
      </c>
      <c r="K44" s="25" t="str">
        <f>IFERROR(__xludf.DUMMYFUNCTION("GOOGLETRANSLATE(B44, ""en"", ""vi"")"),"Snoovir")</f>
        <v>Snoovir</v>
      </c>
      <c r="L44" s="42" t="str">
        <f>IFERROR(__xludf.DUMMYFUNCTION("GOOGLETRANSLATE(B44, ""en"", ""hr"")"),"Šljokica")</f>
        <v>Šljokica</v>
      </c>
      <c r="M44" s="26"/>
      <c r="N44" s="26"/>
      <c r="O44" s="26"/>
      <c r="P44" s="26"/>
      <c r="Q44" s="26"/>
      <c r="R44" s="26"/>
      <c r="S44" s="26"/>
      <c r="T44" s="26"/>
      <c r="U44" s="26"/>
      <c r="V44" s="26"/>
      <c r="W44" s="26"/>
      <c r="X44" s="26"/>
      <c r="Y44" s="26"/>
      <c r="Z44" s="26"/>
      <c r="AA44" s="26"/>
      <c r="AB44" s="26"/>
    </row>
    <row r="45">
      <c r="A45" s="21" t="s">
        <v>1054</v>
      </c>
      <c r="B45" s="22" t="s">
        <v>1055</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42" t="str">
        <f>IFERROR(__xludf.DUMMYFUNCTION("GOOGLETRANSLATE(B45, ""en"", ""hr"")"),"Zombi")</f>
        <v>Zombi</v>
      </c>
      <c r="M45" s="26"/>
      <c r="N45" s="26"/>
      <c r="O45" s="26"/>
      <c r="P45" s="26"/>
      <c r="Q45" s="26"/>
      <c r="R45" s="26"/>
      <c r="S45" s="26"/>
      <c r="T45" s="26"/>
      <c r="U45" s="26"/>
      <c r="V45" s="26"/>
      <c r="W45" s="26"/>
      <c r="X45" s="26"/>
      <c r="Y45" s="26"/>
      <c r="Z45" s="26"/>
      <c r="AA45" s="26"/>
      <c r="AB45" s="26"/>
    </row>
    <row r="46">
      <c r="A46" s="21" t="s">
        <v>1056</v>
      </c>
      <c r="B46" s="22" t="s">
        <v>1057</v>
      </c>
      <c r="C46" s="23" t="str">
        <f>IFERROR(__xludf.DUMMYFUNCTION("GOOGLETRANSLATE(B46, ""en"", ""fr"")"),"Momie")</f>
        <v>Momie</v>
      </c>
      <c r="D46" s="23" t="str">
        <f>IFERROR(__xludf.DUMMYFUNCTION("GOOGLETRANSLATE(B46, ""en"", ""es"")"),"Momia")</f>
        <v>Momia</v>
      </c>
      <c r="E46" s="23" t="s">
        <v>1058</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42" t="str">
        <f>IFERROR(__xludf.DUMMYFUNCTION("GOOGLETRANSLATE(B46, ""en"", ""hr"")"),"Mumija")</f>
        <v>Mumija</v>
      </c>
      <c r="M46" s="26"/>
      <c r="N46" s="26"/>
      <c r="O46" s="26"/>
      <c r="P46" s="26"/>
      <c r="Q46" s="26"/>
      <c r="R46" s="26"/>
      <c r="S46" s="26"/>
      <c r="T46" s="26"/>
      <c r="U46" s="26"/>
      <c r="V46" s="26"/>
      <c r="W46" s="26"/>
      <c r="X46" s="26"/>
      <c r="Y46" s="26"/>
      <c r="Z46" s="26"/>
      <c r="AA46" s="26"/>
      <c r="AB46" s="26"/>
    </row>
    <row r="47">
      <c r="A47" s="21" t="s">
        <v>1059</v>
      </c>
      <c r="B47" s="22" t="s">
        <v>1060</v>
      </c>
      <c r="C47" s="23" t="str">
        <f>IFERROR(__xludf.DUMMYFUNCTION("GOOGLETRANSLATE(B47, ""en"", ""fr"")"),"Gardien de crypte")</f>
        <v>Gardien de crypte</v>
      </c>
      <c r="D47" s="23" t="str">
        <f>IFERROR(__xludf.DUMMYFUNCTION("GOOGLETRANSLATE(B47, ""en"", ""es"")"),"Guardián de la cripta")</f>
        <v>Guardián de la cripta</v>
      </c>
      <c r="E47" s="23" t="str">
        <f>IFERROR(__xludf.DUMMYFUNCTION("GOOGLETRANSLATE(B47, ""en"", ""ru"")"),"Страж Скрик")</f>
        <v>Страж Скрик</v>
      </c>
      <c r="F47" s="23" t="str">
        <f>IFERROR(__xludf.DUMMYFUNCTION("GOOGLETRANSLATE(B47, ""en"", ""tr"")"),"Kript müdürü")</f>
        <v>Kript müdürü</v>
      </c>
      <c r="G47" s="23" t="str">
        <f>IFERROR(__xludf.DUMMYFUNCTION("GOOGLETRANSLATE(B47, ""en"", ""pt"")"),"Diretor de cripta")</f>
        <v>Diretor de cripta</v>
      </c>
      <c r="H47" s="24" t="str">
        <f>IFERROR(__xludf.DUMMYFUNCTION("GOOGLETRANSLATE(B47, ""en"", ""de"")"),"Krypta Warden")</f>
        <v>Krypta Warden</v>
      </c>
      <c r="I47" s="23" t="str">
        <f>IFERROR(__xludf.DUMMYFUNCTION("GOOGLETRANSLATE(B47, ""en"", ""pl"")"),"Strażnik krypt")</f>
        <v>Strażnik krypt</v>
      </c>
      <c r="J47" s="25" t="str">
        <f>IFERROR(__xludf.DUMMYFUNCTION("GOOGLETRANSLATE(B47, ""en"", ""zh"")"),"加密监狱长")</f>
        <v>加密监狱长</v>
      </c>
      <c r="K47" s="25" t="str">
        <f>IFERROR(__xludf.DUMMYFUNCTION("GOOGLETRANSLATE(B47, ""en"", ""vi"")"),"CRYPT Warden")</f>
        <v>CRYPT Warden</v>
      </c>
      <c r="L47" s="42" t="str">
        <f>IFERROR(__xludf.DUMMYFUNCTION("GOOGLETRANSLATE(B47, ""en"", ""hr"")"),"Kripta upravnik")</f>
        <v>Kripta upravnik</v>
      </c>
      <c r="M47" s="26"/>
      <c r="N47" s="26"/>
      <c r="O47" s="26"/>
      <c r="P47" s="26"/>
      <c r="Q47" s="26"/>
      <c r="R47" s="26"/>
      <c r="S47" s="26"/>
      <c r="T47" s="26"/>
      <c r="U47" s="26"/>
      <c r="V47" s="26"/>
      <c r="W47" s="26"/>
      <c r="X47" s="26"/>
      <c r="Y47" s="26"/>
      <c r="Z47" s="26"/>
      <c r="AA47" s="26"/>
      <c r="AB47" s="26"/>
    </row>
    <row r="48">
      <c r="A48" s="21" t="s">
        <v>1061</v>
      </c>
      <c r="B48" s="22" t="s">
        <v>1062</v>
      </c>
      <c r="C48" s="23" t="str">
        <f>IFERROR(__xludf.DUMMYFUNCTION("GOOGLETRANSLATE(B48, ""en"", ""fr"")"),"pharaon")</f>
        <v>pharaon</v>
      </c>
      <c r="D48" s="23" t="str">
        <f>IFERROR(__xludf.DUMMYFUNCTION("GOOGLETRANSLATE(B48, ""en"", ""es"")"),"faraón")</f>
        <v>faraón</v>
      </c>
      <c r="E48" s="23" t="s">
        <v>1063</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42" t="str">
        <f>IFERROR(__xludf.DUMMYFUNCTION("GOOGLETRANSLATE(B48, ""en"", ""hr"")"),"faraon")</f>
        <v>faraon</v>
      </c>
      <c r="M48" s="26"/>
      <c r="N48" s="26"/>
      <c r="O48" s="26"/>
      <c r="P48" s="26"/>
      <c r="Q48" s="26"/>
      <c r="R48" s="26"/>
      <c r="S48" s="26"/>
      <c r="T48" s="26"/>
      <c r="U48" s="26"/>
      <c r="V48" s="26"/>
      <c r="W48" s="26"/>
      <c r="X48" s="26"/>
      <c r="Y48" s="26"/>
      <c r="Z48" s="26"/>
      <c r="AA48" s="26"/>
      <c r="AB48" s="26"/>
    </row>
    <row r="49">
      <c r="A49" s="21" t="s">
        <v>1064</v>
      </c>
      <c r="B49" s="22" t="s">
        <v>1065</v>
      </c>
      <c r="C49" s="23" t="str">
        <f>IFERROR(__xludf.DUMMYFUNCTION("GOOGLETRANSLATE(B49, ""en"", ""fr"")"),"Vampire")</f>
        <v>Vampire</v>
      </c>
      <c r="D49" s="23" t="str">
        <f>IFERROR(__xludf.DUMMYFUNCTION("GOOGLETRANSLATE(B49, ""en"", ""es"")"),"Vampiro")</f>
        <v>Vampiro</v>
      </c>
      <c r="E49" s="23" t="s">
        <v>1066</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42" t="str">
        <f>IFERROR(__xludf.DUMMYFUNCTION("GOOGLETRANSLATE(B49, ""en"", ""hr"")"),"Vampir")</f>
        <v>Vampir</v>
      </c>
      <c r="M49" s="26"/>
      <c r="N49" s="26"/>
      <c r="O49" s="26"/>
      <c r="P49" s="26"/>
      <c r="Q49" s="26"/>
      <c r="R49" s="26"/>
      <c r="S49" s="26"/>
      <c r="T49" s="26"/>
      <c r="U49" s="26"/>
      <c r="V49" s="26"/>
      <c r="W49" s="26"/>
      <c r="X49" s="26"/>
      <c r="Y49" s="26"/>
      <c r="Z49" s="26"/>
      <c r="AA49" s="26"/>
      <c r="AB49" s="26"/>
    </row>
    <row r="50">
      <c r="A50" s="21" t="s">
        <v>1067</v>
      </c>
      <c r="B50" s="22" t="s">
        <v>1068</v>
      </c>
      <c r="C50" s="23" t="str">
        <f>IFERROR(__xludf.DUMMYFUNCTION("GOOGLETRANSLATE(B50, ""en"", ""fr"")"),"Prêtre de sang")</f>
        <v>Prêtre de sang</v>
      </c>
      <c r="D50" s="23" t="str">
        <f>IFERROR(__xludf.DUMMYFUNCTION("GOOGLETRANSLATE(B50, ""en"", ""es"")"),"Sacerdote de sangre")</f>
        <v>Sacerdote de sangre</v>
      </c>
      <c r="E50" s="23" t="str">
        <f>IFERROR(__xludf.DUMMYFUNCTION("GOOGLETRANSLATE(B50, ""en"", ""ru"")"),"Кровавый священник")</f>
        <v>Кровавый священник</v>
      </c>
      <c r="F50" s="23" t="str">
        <f>IFERROR(__xludf.DUMMYFUNCTION("GOOGLETRANSLATE(B50, ""en"", ""tr"")"),"Kan rahip")</f>
        <v>Kan rahip</v>
      </c>
      <c r="G50" s="23" t="str">
        <f>IFERROR(__xludf.DUMMYFUNCTION("GOOGLETRANSLATE(B50, ""en"", ""pt"")"),"Sacerdote do Sangue")</f>
        <v>Sacerdote do Sangue</v>
      </c>
      <c r="H50" s="24" t="str">
        <f>IFERROR(__xludf.DUMMYFUNCTION("GOOGLETRANSLATE(B50, ""en"", ""de"")"),"Blutpriester")</f>
        <v>Blutpriester</v>
      </c>
      <c r="I50" s="23" t="str">
        <f>IFERROR(__xludf.DUMMYFUNCTION("GOOGLETRANSLATE(B50, ""en"", ""pl"")"),"Krwawik")</f>
        <v>Krwawik</v>
      </c>
      <c r="J50" s="25" t="str">
        <f>IFERROR(__xludf.DUMMYFUNCTION("GOOGLETRANSLATE(B50, ""en"", ""zh"")"),"血祭")</f>
        <v>血祭</v>
      </c>
      <c r="K50" s="25" t="str">
        <f>IFERROR(__xludf.DUMMYFUNCTION("GOOGLETRANSLATE(B50, ""en"", ""vi"")"),"Linh mục máu")</f>
        <v>Linh mục máu</v>
      </c>
      <c r="L50" s="42" t="str">
        <f>IFERROR(__xludf.DUMMYFUNCTION("GOOGLETRANSLATE(B50, ""en"", ""hr"")"),"Krv")</f>
        <v>Krv</v>
      </c>
      <c r="M50" s="26"/>
      <c r="N50" s="26"/>
      <c r="O50" s="26"/>
      <c r="P50" s="26"/>
      <c r="Q50" s="26"/>
      <c r="R50" s="26"/>
      <c r="S50" s="26"/>
      <c r="T50" s="26"/>
      <c r="U50" s="26"/>
      <c r="V50" s="26"/>
      <c r="W50" s="26"/>
      <c r="X50" s="26"/>
      <c r="Y50" s="26"/>
      <c r="Z50" s="26"/>
      <c r="AA50" s="26"/>
      <c r="AB50" s="26"/>
    </row>
    <row r="51">
      <c r="A51" s="21" t="s">
        <v>1069</v>
      </c>
      <c r="B51" s="22" t="s">
        <v>1070</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""ru"")"),"Господь крови")</f>
        <v>Господь крови</v>
      </c>
      <c r="F51" s="23" t="str">
        <f>IFERROR(__xludf.DUMMYFUNCTION("GOOGLETRANSLATE(B51, ""en"", ""tr"")"),"Kan lordu")</f>
        <v>Kan lordu</v>
      </c>
      <c r="G51" s="23" t="str">
        <f>IFERROR(__xludf.DUMMYFUNCTION("GOOGLETRANSLATE(B51, ""en"", ""pt"")"),"Senhor de sangue")</f>
        <v>Senhor de sangue</v>
      </c>
      <c r="H51" s="24" t="str">
        <f>IFERROR(__xludf.DUMMYFUNCTION("GOOGLETRANSLATE(B51, ""en"", ""de"")"),"Blutlord")</f>
        <v>Blutlord</v>
      </c>
      <c r="I51" s="23" t="str">
        <f>IFERROR(__xludf.DUMMYFUNCTION("GOOGLETRANSLATE(B51, ""en"", ""pl"")"),"Władca krwi")</f>
        <v>Władca krwi</v>
      </c>
      <c r="J51" s="25" t="str">
        <f>IFERROR(__xludf.DUMMYFUNCTION("GOOGLETRANSLATE(B51, ""en"", ""zh"")"),"血统")</f>
        <v>血统</v>
      </c>
      <c r="K51" s="25" t="str">
        <f>IFERROR(__xludf.DUMMYFUNCTION("GOOGLETRANSLATE(B51, ""en"", ""vi"")"),"Chúa tể máu")</f>
        <v>Chúa tể máu</v>
      </c>
      <c r="L51" s="42" t="str">
        <f>IFERROR(__xludf.DUMMYFUNCTION("GOOGLETRANSLATE(B51, ""en"", ""hr"")"),"Lord krvi")</f>
        <v>Lord krvi</v>
      </c>
      <c r="M51" s="26"/>
      <c r="N51" s="26"/>
      <c r="O51" s="26"/>
      <c r="P51" s="26"/>
      <c r="Q51" s="26"/>
      <c r="R51" s="26"/>
      <c r="S51" s="26"/>
      <c r="T51" s="26"/>
      <c r="U51" s="26"/>
      <c r="V51" s="26"/>
      <c r="W51" s="26"/>
      <c r="X51" s="26"/>
      <c r="Y51" s="26"/>
      <c r="Z51" s="26"/>
      <c r="AA51" s="26"/>
      <c r="AB51" s="26"/>
    </row>
    <row r="52">
      <c r="A52" s="21" t="s">
        <v>1071</v>
      </c>
      <c r="B52" s="22" t="s">
        <v>1072</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""vi"")"),"Gợn sóng")</f>
        <v>Gợn sóng</v>
      </c>
      <c r="L52" s="42" t="str">
        <f>IFERROR(__xludf.DUMMYFUNCTION("GOOGLETRANSLATE(B52, ""en"", ""hr"")"),"Grickati")</f>
        <v>Grickati</v>
      </c>
      <c r="M52" s="26"/>
      <c r="N52" s="26"/>
      <c r="O52" s="26"/>
      <c r="P52" s="26"/>
      <c r="Q52" s="26"/>
      <c r="R52" s="26"/>
      <c r="S52" s="26"/>
      <c r="T52" s="26"/>
      <c r="U52" s="26"/>
      <c r="V52" s="26"/>
      <c r="W52" s="26"/>
      <c r="X52" s="26"/>
      <c r="Y52" s="26"/>
      <c r="Z52" s="26"/>
      <c r="AA52" s="26"/>
      <c r="AB52" s="26"/>
    </row>
    <row r="53">
      <c r="A53" s="21" t="s">
        <v>1073</v>
      </c>
      <c r="B53" s="22" t="s">
        <v>1074</v>
      </c>
      <c r="C53" s="23" t="str">
        <f>IFERROR(__xludf.DUMMYFUNCTION("GOOGLETRANSLATE(B53, ""en"", ""fr"")"),"Grand gnarl")</f>
        <v>Grand gnarl</v>
      </c>
      <c r="D53" s="23" t="str">
        <f>IFERROR(__xludf.DUMMYFUNCTION("GOOGLETRANSLATE(B53, ""en"", ""es"")"),"Gran Gnarl")</f>
        <v>Gran Gnarl</v>
      </c>
      <c r="E53" s="23" t="str">
        <f>IFERROR(__xludf.DUMMYFUNCTION("GOOGLETRANSLATE(B53, ""en"", ""ru"")"),"Отличный гнарл")</f>
        <v>Отличный гнарл</v>
      </c>
      <c r="F53" s="23" t="str">
        <f>IFERROR(__xludf.DUMMYFUNCTION("GOOGLETRANSLATE(B53, ""en"", ""tr"")"),"Harika gnarl")</f>
        <v>Harika gnarl</v>
      </c>
      <c r="G53" s="23" t="str">
        <f>IFERROR(__xludf.DUMMYFUNCTION("GOOGLETRANSLATE(B53, ""en"", ""pt"")"),"Grande Gnarl")</f>
        <v>Grande Gnarl</v>
      </c>
      <c r="H53" s="24" t="str">
        <f>IFERROR(__xludf.DUMMYFUNCTION("GOOGLETRANSLATE(B53, ""en"", ""de"")"),"Großer Gnarl")</f>
        <v>Großer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vĩ đại")</f>
        <v>Gnarl vĩ đại</v>
      </c>
      <c r="L53" s="42" t="str">
        <f>IFERROR(__xludf.DUMMYFUNCTION("GOOGLETRANSLATE(B53, ""en"", ""hr"")"),"Veliki gnarl")</f>
        <v>Veliki gnarl</v>
      </c>
      <c r="M53" s="26"/>
      <c r="N53" s="26"/>
      <c r="O53" s="26"/>
      <c r="P53" s="26"/>
      <c r="Q53" s="26"/>
      <c r="R53" s="26"/>
      <c r="S53" s="26"/>
      <c r="T53" s="26"/>
      <c r="U53" s="26"/>
      <c r="V53" s="26"/>
      <c r="W53" s="26"/>
      <c r="X53" s="26"/>
      <c r="Y53" s="26"/>
      <c r="Z53" s="26"/>
      <c r="AA53" s="26"/>
      <c r="AB53" s="26"/>
    </row>
    <row r="54">
      <c r="A54" s="21" t="s">
        <v>1075</v>
      </c>
      <c r="B54" s="22" t="s">
        <v>1076</v>
      </c>
      <c r="C54" s="23" t="str">
        <f>IFERROR(__xludf.DUMMYFUNCTION("GOOGLETRANSLATE(B54, ""en"", ""fr"")"),"mage")</f>
        <v>mage</v>
      </c>
      <c r="D54" s="23" t="str">
        <f>IFERROR(__xludf.DUMMYFUNCTION("GOOGLETRANSLATE(B54, ""en"", ""es"")"),"Mago")</f>
        <v>Mago</v>
      </c>
      <c r="E54" s="23" t="s">
        <v>1077</v>
      </c>
      <c r="F54" s="23" t="str">
        <f>IFERROR(__xludf.DUMMYFUNCTION("GOOGLETRANSLATE(B54, ""en"", ""tr"")"),"Büyücü")</f>
        <v>Büyücü</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""vi"")"),"Pháp sư")</f>
        <v>Pháp sư</v>
      </c>
      <c r="L54" s="42" t="str">
        <f>IFERROR(__xludf.DUMMYFUNCTION("GOOGLETRANSLATE(B54, ""en"", ""hr"")"),"Mag")</f>
        <v>Mag</v>
      </c>
      <c r="M54" s="26"/>
      <c r="N54" s="26"/>
      <c r="O54" s="26"/>
      <c r="P54" s="26"/>
      <c r="Q54" s="26"/>
      <c r="R54" s="26"/>
      <c r="S54" s="26"/>
      <c r="T54" s="26"/>
      <c r="U54" s="26"/>
      <c r="V54" s="26"/>
      <c r="W54" s="26"/>
      <c r="X54" s="26"/>
      <c r="Y54" s="26"/>
      <c r="Z54" s="26"/>
      <c r="AA54" s="26"/>
      <c r="AB54" s="26"/>
    </row>
    <row r="55">
      <c r="A55" s="21" t="s">
        <v>1078</v>
      </c>
      <c r="B55" s="22" t="s">
        <v>1079</v>
      </c>
      <c r="C55" s="23" t="str">
        <f>IFERROR(__xludf.DUMMYFUNCTION("GOOGLETRANSLATE(B55, ""en"", ""fr"")"),"Mage arc")</f>
        <v>Mage arc</v>
      </c>
      <c r="D55" s="23" t="str">
        <f>IFERROR(__xludf.DUMMYFUNCTION("GOOGLETRANSLATE(B55, ""en"", ""es"")"),"Mago de arco")</f>
        <v>Mago de arco</v>
      </c>
      <c r="E55" s="23" t="str">
        <f>IFERROR(__xludf.DUMMYFUNCTION("GOOGLETRANSLATE(B55, ""en"", ""ru"")"),"Арх маг")</f>
        <v>Арх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""de"")"),"Bogenmagier")</f>
        <v>Bogenmagier</v>
      </c>
      <c r="I55" s="23" t="str">
        <f>IFERROR(__xludf.DUMMYFUNCTION("GOOGLETRANSLATE(B55, ""en"", ""pl"")"),"Łuk")</f>
        <v>Łuk</v>
      </c>
      <c r="J55" s="25" t="str">
        <f>IFERROR(__xludf.DUMMYFUNCTION("GOOGLETRANSLATE(B55, ""en"", ""zh"")"),"拱门法师")</f>
        <v>拱门法师</v>
      </c>
      <c r="K55" s="25" t="str">
        <f>IFERROR(__xludf.DUMMYFUNCTION("GOOGLETRANSLATE(B55, ""en"", ""vi"")"),"Mage Arch")</f>
        <v>Mage Arch</v>
      </c>
      <c r="L55" s="42" t="str">
        <f>IFERROR(__xludf.DUMMYFUNCTION("GOOGLETRANSLATE(B55, ""en"", ""hr"")"),"Luk maga")</f>
        <v>Luk maga</v>
      </c>
      <c r="M55" s="26"/>
      <c r="N55" s="26"/>
      <c r="O55" s="26"/>
      <c r="P55" s="26"/>
      <c r="Q55" s="26"/>
      <c r="R55" s="26"/>
      <c r="S55" s="26"/>
      <c r="T55" s="26"/>
      <c r="U55" s="26"/>
      <c r="V55" s="26"/>
      <c r="W55" s="26"/>
      <c r="X55" s="26"/>
      <c r="Y55" s="26"/>
      <c r="Z55" s="26"/>
      <c r="AA55" s="26"/>
      <c r="AB55" s="26"/>
    </row>
    <row r="56">
      <c r="A56" s="21" t="s">
        <v>1080</v>
      </c>
      <c r="B56" s="22" t="s">
        <v>1081</v>
      </c>
      <c r="C56" s="23" t="str">
        <f>IFERROR(__xludf.DUMMYFUNCTION("GOOGLETRANSLATE(B56, ""en"", ""fr"")"),"Golem de fer")</f>
        <v>Golem de fer</v>
      </c>
      <c r="D56" s="23" t="str">
        <f>IFERROR(__xludf.DUMMYFUNCTION("GOOGLETRANSLATE(B56, ""en"", ""es"")"),"Golem de hierro")</f>
        <v>Golem de hierro</v>
      </c>
      <c r="E56" s="23" t="str">
        <f>IFERROR(__xludf.DUMMYFUNCTION("GOOGLETRANSLATE(B56, ""en"", ""ru"")"),"Железный Голем")</f>
        <v>Железный Голем</v>
      </c>
      <c r="F56" s="23" t="str">
        <f>IFERROR(__xludf.DUMMYFUNCTION("GOOGLETRANSLATE(B56, ""en"", ""tr"")"),"Demir Golem")</f>
        <v>Demir Golem</v>
      </c>
      <c r="G56" s="23" t="str">
        <f>IFERROR(__xludf.DUMMYFUNCTION("GOOGLETRANSLATE(B56, ""en"", ""pt"")"),"Gigante de Ferro")</f>
        <v>Gigante de Ferro</v>
      </c>
      <c r="H56" s="24" t="str">
        <f>IFERROR(__xludf.DUMMYFUNCTION("GOOGLETRANSLATE(B56, ""en"", ""de"")"),"Eisengolem")</f>
        <v>Eisengolem</v>
      </c>
      <c r="I56" s="23" t="str">
        <f>IFERROR(__xludf.DUMMYFUNCTION("GOOGLETRANSLATE(B56, ""en"", ""pl"")"),"Żelazny golem")</f>
        <v>Żelazny golem</v>
      </c>
      <c r="J56" s="25" t="str">
        <f>IFERROR(__xludf.DUMMYFUNCTION("GOOGLETRANSLATE(B56, ""en"", ""zh"")"),"铁巨人")</f>
        <v>铁巨人</v>
      </c>
      <c r="K56" s="25" t="str">
        <f>IFERROR(__xludf.DUMMYFUNCTION("GOOGLETRANSLATE(B56, ""en"", ""vi"")"),"Golem sắt")</f>
        <v>Golem sắt</v>
      </c>
      <c r="L56" s="42" t="str">
        <f>IFERROR(__xludf.DUMMYFUNCTION("GOOGLETRANSLATE(B56, ""en"", ""hr"")"),"Željezni golem")</f>
        <v>Željezni golem</v>
      </c>
      <c r="M56" s="26"/>
      <c r="N56" s="26"/>
      <c r="O56" s="26"/>
      <c r="P56" s="26"/>
      <c r="Q56" s="26"/>
      <c r="R56" s="26"/>
      <c r="S56" s="26"/>
      <c r="T56" s="26"/>
      <c r="U56" s="26"/>
      <c r="V56" s="26"/>
      <c r="W56" s="26"/>
      <c r="X56" s="26"/>
      <c r="Y56" s="26"/>
      <c r="Z56" s="26"/>
      <c r="AA56" s="26"/>
      <c r="AB56" s="26"/>
    </row>
    <row r="57">
      <c r="A57" s="21" t="s">
        <v>1082</v>
      </c>
      <c r="B57" s="22" t="s">
        <v>1083</v>
      </c>
      <c r="C57" s="23" t="str">
        <f>IFERROR(__xludf.DUMMYFUNCTION("GOOGLETRANSLATE(B57, ""en"", ""fr"")"),"Golem de dungium")</f>
        <v>Golem de dungium</v>
      </c>
      <c r="D57" s="23" t="str">
        <f>IFERROR(__xludf.DUMMYFUNCTION("GOOGLETRANSLATE(B57, ""en"", ""es"")"),"Golem")</f>
        <v>Golem</v>
      </c>
      <c r="E57" s="23" t="str">
        <f>IFERROR(__xludf.DUMMYFUNCTION("GOOGLETRANSLATE(B57, ""en"", ""ru"")"),"Dungium Golem")</f>
        <v>Dungium Golem</v>
      </c>
      <c r="F57" s="23" t="str">
        <f>IFERROR(__xludf.DUMMYFUNCTION("GOOGLETRANSLATE(B57, ""en"", ""tr"")"),"Dunyum Golem")</f>
        <v>Dunyum Golem</v>
      </c>
      <c r="G57" s="23" t="str">
        <f>IFERROR(__xludf.DUMMYFUNCTION("GOOGLETRANSLATE(B57, ""en"", ""pt"")"),"Golem de Dungium")</f>
        <v>Golem de Dungium</v>
      </c>
      <c r="H57" s="24" t="str">
        <f>IFERROR(__xludf.DUMMYFUNCTION("GOOGLETRANSLATE(B57, ""en"", ""de"")"),"Dungiumgolem")</f>
        <v>Dungiumgolem</v>
      </c>
      <c r="I57" s="23" t="str">
        <f>IFERROR(__xludf.DUMMYFUNCTION("GOOGLETRANSLATE(B57, ""en"", ""pl"")"),"Dungium Golem")</f>
        <v>Dungium Golem</v>
      </c>
      <c r="J57" s="25" t="str">
        <f>IFERROR(__xludf.DUMMYFUNCTION("GOOGLETRANSLATE(B57, ""en"", ""zh"")"),"dungium golem")</f>
        <v>dungium golem</v>
      </c>
      <c r="K57" s="25" t="str">
        <f>IFERROR(__xludf.DUMMYFUNCTION("GOOGLETRANSLATE(B57, ""en"", ""vi"")"),"Dungium Golem")</f>
        <v>Dungium Golem</v>
      </c>
      <c r="L57" s="42" t="str">
        <f>IFERROR(__xludf.DUMMYFUNCTION("GOOGLETRANSLATE(B57, ""en"", ""hr"")"),"Dungium golem")</f>
        <v>Dungium golem</v>
      </c>
      <c r="M57" s="26"/>
      <c r="N57" s="26"/>
      <c r="O57" s="26"/>
      <c r="P57" s="26"/>
      <c r="Q57" s="26"/>
      <c r="R57" s="26"/>
      <c r="S57" s="26"/>
      <c r="T57" s="26"/>
      <c r="U57" s="26"/>
      <c r="V57" s="26"/>
      <c r="W57" s="26"/>
      <c r="X57" s="26"/>
      <c r="Y57" s="26"/>
      <c r="Z57" s="26"/>
      <c r="AA57" s="26"/>
      <c r="AB57" s="26"/>
    </row>
    <row r="58">
      <c r="A58" s="21" t="s">
        <v>1084</v>
      </c>
      <c r="B58" s="22" t="s">
        <v>1085</v>
      </c>
      <c r="C58" s="23" t="str">
        <f>IFERROR(__xludf.DUMMYFUNCTION("GOOGLETRANSLATE(B58, ""en"", ""fr"")"),"Golem agonite")</f>
        <v>Golem agonite</v>
      </c>
      <c r="D58" s="23" t="str">
        <f>IFERROR(__xludf.DUMMYFUNCTION("GOOGLETRANSLATE(B58, ""en"", ""es"")"),"Golem agonita")</f>
        <v>Golem agonita</v>
      </c>
      <c r="E58" s="23" t="str">
        <f>IFERROR(__xludf.DUMMYFUNCTION("GOOGLETRANSLATE(B58, ""en"", ""ru"")"),"Агонит Голем")</f>
        <v>Агонит Голем</v>
      </c>
      <c r="F58" s="23" t="str">
        <f>IFERROR(__xludf.DUMMYFUNCTION("GOOGLETRANSLATE(B58, ""en"", ""tr"")"),"Agonit golem")</f>
        <v>Agonit golem</v>
      </c>
      <c r="G58" s="23" t="str">
        <f>IFERROR(__xludf.DUMMYFUNCTION("GOOGLETRANSLATE(B58, ""en"", ""pt"")"),"Agonite Golem")</f>
        <v>Agonite Golem</v>
      </c>
      <c r="H58" s="24" t="str">
        <f>IFERROR(__xludf.DUMMYFUNCTION("GOOGLETRANSLATE(B58, ""en"", ""de"")"),"Agonite Golem")</f>
        <v>Agonite Golem</v>
      </c>
      <c r="I58" s="23" t="str">
        <f>IFERROR(__xludf.DUMMYFUNCTION("GOOGLETRANSLATE(B58, ""en"", ""pl"")"),"Agonite Golem")</f>
        <v>Agonite Golem</v>
      </c>
      <c r="J58" s="25" t="str">
        <f>IFERROR(__xludf.DUMMYFUNCTION("GOOGLETRANSLATE(B58, ""en"", ""zh"")"),"激动剂魔像")</f>
        <v>激动剂魔像</v>
      </c>
      <c r="K58" s="25" t="str">
        <f>IFERROR(__xludf.DUMMYFUNCTION("GOOGLETRANSLATE(B58, ""en"", ""vi"")"),"Golem agonite")</f>
        <v>Golem agonite</v>
      </c>
      <c r="L58" s="42" t="str">
        <f>IFERROR(__xludf.DUMMYFUNCTION("GOOGLETRANSLATE(B58, ""en"", ""hr"")"),"Agonit golem")</f>
        <v>Agonit golem</v>
      </c>
      <c r="M58" s="26"/>
      <c r="N58" s="26"/>
      <c r="O58" s="26"/>
      <c r="P58" s="26"/>
      <c r="Q58" s="26"/>
      <c r="R58" s="26"/>
      <c r="S58" s="26"/>
      <c r="T58" s="26"/>
      <c r="U58" s="26"/>
      <c r="V58" s="26"/>
      <c r="W58" s="26"/>
      <c r="X58" s="26"/>
      <c r="Y58" s="26"/>
      <c r="Z58" s="26"/>
      <c r="AA58" s="26"/>
      <c r="AB58" s="26"/>
    </row>
    <row r="59">
      <c r="A59" s="21" t="s">
        <v>1086</v>
      </c>
      <c r="B59" s="22" t="s">
        <v>1087</v>
      </c>
      <c r="C59" s="23" t="str">
        <f>IFERROR(__xludf.DUMMYFUNCTION("GOOGLETRANSLATE(B59, ""en"", ""fr"")"),"Noctis Golem")</f>
        <v>Noctis Golem</v>
      </c>
      <c r="D59" s="23" t="str">
        <f>IFERROR(__xludf.DUMMYFUNCTION("GOOGLETRANSLATE(B59, ""en"", ""es"")"),"Noctis golem")</f>
        <v>Noctis golem</v>
      </c>
      <c r="E59" s="23" t="str">
        <f>IFERROR(__xludf.DUMMYFUNCTION("GOOGLETRANSLATE(B59, ""en"", ""ru"")"),"Noctis Golem")</f>
        <v>Noctis Golem</v>
      </c>
      <c r="F59" s="23" t="str">
        <f>IFERROR(__xludf.DUMMYFUNCTION("GOOGLETRANSLATE(B59, ""en"", ""tr"")"),"Noctis Golem")</f>
        <v>Noctis Golem</v>
      </c>
      <c r="G59" s="23" t="str">
        <f>IFERROR(__xludf.DUMMYFUNCTION("GOOGLETRANSLATE(B59, ""en"", ""pt"")"),"Noctis Golem")</f>
        <v>Noctis Golem</v>
      </c>
      <c r="H59" s="24" t="str">
        <f>IFERROR(__xludf.DUMMYFUNCTION("GOOGLETRANSLATE(B59, ""en"", ""de"")"),"Noctis Golem")</f>
        <v>Noctis Golem</v>
      </c>
      <c r="I59" s="23" t="str">
        <f>IFERROR(__xludf.DUMMYFUNCTION("GOOGLETRANSLATE(B59, ""en"", ""pl"")"),"Noctis Golem")</f>
        <v>Noctis Golem</v>
      </c>
      <c r="J59" s="25" t="str">
        <f>IFERROR(__xludf.DUMMYFUNCTION("GOOGLETRANSLATE(B59, ""en"", ""zh"")"),"Noctis Golem")</f>
        <v>Noctis Golem</v>
      </c>
      <c r="K59" s="25" t="str">
        <f>IFERROR(__xludf.DUMMYFUNCTION("GOOGLETRANSLATE(B59, ""en"", ""vi"")"),"Noctis Golem")</f>
        <v>Noctis Golem</v>
      </c>
      <c r="L59" s="42" t="str">
        <f>IFERROR(__xludf.DUMMYFUNCTION("GOOGLETRANSLATE(B59, ""en"", ""hr"")"),"Noctis golem")</f>
        <v>Noctis golem</v>
      </c>
      <c r="M59" s="26"/>
      <c r="N59" s="26"/>
      <c r="O59" s="26"/>
      <c r="P59" s="26"/>
      <c r="Q59" s="26"/>
      <c r="R59" s="26"/>
      <c r="S59" s="26"/>
      <c r="T59" s="26"/>
      <c r="U59" s="26"/>
      <c r="V59" s="26"/>
      <c r="W59" s="26"/>
      <c r="X59" s="26"/>
      <c r="Y59" s="26"/>
      <c r="Z59" s="26"/>
      <c r="AA59" s="26"/>
      <c r="AB59" s="26"/>
    </row>
    <row r="60">
      <c r="A60" s="21" t="s">
        <v>1088</v>
      </c>
      <c r="B60" s="22" t="s">
        <v>1089</v>
      </c>
      <c r="C60" s="23" t="str">
        <f>IFERROR(__xludf.DUMMYFUNCTION("GOOGLETRANSLATE(B60, ""en"", ""fr"")"),"Adjudiquant")</f>
        <v>Adjudiquant</v>
      </c>
      <c r="D60" s="23" t="str">
        <f>IFERROR(__xludf.DUMMYFUNCTION("GOOGLETRANSLATE(B60, ""en"", ""es"")"),"Adumbral")</f>
        <v>Adumbral</v>
      </c>
      <c r="E60" s="23" t="str">
        <f>IFERROR(__xludf.DUMMYFUNCTION("GOOGLETRANSLATE(B60, ""en"", ""ru"")"),"Адумбрал")</f>
        <v>Адумбрал</v>
      </c>
      <c r="F60" s="23" t="str">
        <f>IFERROR(__xludf.DUMMYFUNCTION("GOOGLETRANSLATE(B60, ""en"", ""tr"")"),"Adumbral")</f>
        <v>Adumbral</v>
      </c>
      <c r="G60" s="23" t="str">
        <f>IFERROR(__xludf.DUMMYFUNCTION("GOOGLETRANSLATE(B60, ""en"", ""pt"")"),"Adumbral")</f>
        <v>Adumbral</v>
      </c>
      <c r="H60" s="24" t="str">
        <f>IFERROR(__xludf.DUMMYFUNCTION("GOOGLETRANSLATE(B60, ""en"", ""de"")"),"Adumbral")</f>
        <v>Adumbral</v>
      </c>
      <c r="I60" s="23" t="str">
        <f>IFERROR(__xludf.DUMMYFUNCTION("GOOGLETRANSLATE(B60, ""en"", ""pl"")"),"Adumbral")</f>
        <v>Adumbral</v>
      </c>
      <c r="J60" s="25" t="str">
        <f>IFERROR(__xludf.DUMMYFUNCTION("GOOGLETRANSLATE(B60, ""en"", ""zh"")"),"adumbral")</f>
        <v>adumbral</v>
      </c>
      <c r="K60" s="25" t="str">
        <f>IFERROR(__xludf.DUMMYFUNCTION("GOOGLETRANSLATE(B60, ""en"", ""vi"")"),"Adumbral")</f>
        <v>Adumbral</v>
      </c>
      <c r="L60" s="42" t="str">
        <f>IFERROR(__xludf.DUMMYFUNCTION("GOOGLETRANSLATE(B60, ""en"", ""hr"")"),"Adumbral")</f>
        <v>Adumbral</v>
      </c>
      <c r="M60" s="26"/>
      <c r="N60" s="26"/>
      <c r="O60" s="26"/>
      <c r="P60" s="26"/>
      <c r="Q60" s="26"/>
      <c r="R60" s="26"/>
      <c r="S60" s="26"/>
      <c r="T60" s="26"/>
      <c r="U60" s="26"/>
      <c r="V60" s="26"/>
      <c r="W60" s="26"/>
      <c r="X60" s="26"/>
      <c r="Y60" s="26"/>
      <c r="Z60" s="26"/>
      <c r="AA60" s="26"/>
      <c r="AB60" s="26"/>
    </row>
    <row r="61">
      <c r="A61" s="34"/>
      <c r="B61" s="35"/>
      <c r="C61" s="30"/>
      <c r="D61" s="30"/>
      <c r="E61" s="30"/>
      <c r="F61" s="30"/>
      <c r="G61" s="30"/>
      <c r="H61" s="31"/>
      <c r="I61" s="30"/>
      <c r="J61" s="32"/>
      <c r="K61" s="32"/>
      <c r="L61" s="47"/>
      <c r="M61" s="26"/>
      <c r="N61" s="26"/>
      <c r="O61" s="26"/>
      <c r="P61" s="26"/>
      <c r="Q61" s="26"/>
      <c r="R61" s="26"/>
      <c r="S61" s="26"/>
      <c r="T61" s="26"/>
      <c r="U61" s="26"/>
      <c r="V61" s="26"/>
      <c r="W61" s="26"/>
      <c r="X61" s="26"/>
      <c r="Y61" s="26"/>
      <c r="Z61" s="26"/>
      <c r="AA61" s="26"/>
      <c r="AB61" s="26"/>
    </row>
    <row r="62">
      <c r="A62" s="34"/>
      <c r="B62" s="35"/>
      <c r="C62" s="30"/>
      <c r="D62" s="30"/>
      <c r="E62" s="30"/>
      <c r="F62" s="30"/>
      <c r="G62" s="30"/>
      <c r="H62" s="31"/>
      <c r="I62" s="30"/>
      <c r="J62" s="32"/>
      <c r="K62" s="32"/>
      <c r="L62" s="47"/>
      <c r="M62" s="26"/>
      <c r="N62" s="26"/>
      <c r="O62" s="26"/>
      <c r="P62" s="26"/>
      <c r="Q62" s="26"/>
      <c r="R62" s="26"/>
      <c r="S62" s="26"/>
      <c r="T62" s="26"/>
      <c r="U62" s="26"/>
      <c r="V62" s="26"/>
      <c r="W62" s="26"/>
      <c r="X62" s="26"/>
      <c r="Y62" s="26"/>
      <c r="Z62" s="26"/>
      <c r="AA62" s="26"/>
      <c r="AB62" s="26"/>
    </row>
    <row r="63">
      <c r="A63" s="34"/>
      <c r="B63" s="35"/>
      <c r="C63" s="30"/>
      <c r="D63" s="30"/>
      <c r="E63" s="30"/>
      <c r="F63" s="30"/>
      <c r="G63" s="30"/>
      <c r="H63" s="31"/>
      <c r="I63" s="30"/>
      <c r="J63" s="32"/>
      <c r="K63" s="32"/>
      <c r="L63" s="47"/>
      <c r="M63" s="26"/>
      <c r="N63" s="26"/>
      <c r="O63" s="26"/>
      <c r="P63" s="26"/>
      <c r="Q63" s="26"/>
      <c r="R63" s="26"/>
      <c r="S63" s="26"/>
      <c r="T63" s="26"/>
      <c r="U63" s="26"/>
      <c r="V63" s="26"/>
      <c r="W63" s="26"/>
      <c r="X63" s="26"/>
      <c r="Y63" s="26"/>
      <c r="Z63" s="26"/>
      <c r="AA63" s="26"/>
      <c r="AB63" s="26"/>
    </row>
    <row r="64">
      <c r="A64" s="34"/>
      <c r="B64" s="35"/>
      <c r="C64" s="30"/>
      <c r="D64" s="30"/>
      <c r="E64" s="30"/>
      <c r="F64" s="30"/>
      <c r="G64" s="30"/>
      <c r="H64" s="31"/>
      <c r="I64" s="30"/>
      <c r="J64" s="32"/>
      <c r="K64" s="32"/>
      <c r="L64" s="47"/>
      <c r="M64" s="26"/>
      <c r="N64" s="26"/>
      <c r="O64" s="26"/>
      <c r="P64" s="26"/>
      <c r="Q64" s="26"/>
      <c r="R64" s="26"/>
      <c r="S64" s="26"/>
      <c r="T64" s="26"/>
      <c r="U64" s="26"/>
      <c r="V64" s="26"/>
      <c r="W64" s="26"/>
      <c r="X64" s="26"/>
      <c r="Y64" s="26"/>
      <c r="Z64" s="26"/>
      <c r="AA64" s="26"/>
      <c r="AB64" s="26"/>
    </row>
    <row r="65">
      <c r="A65" s="34"/>
      <c r="B65" s="35"/>
      <c r="C65" s="30"/>
      <c r="D65" s="30"/>
      <c r="E65" s="30"/>
      <c r="F65" s="30"/>
      <c r="G65" s="30"/>
      <c r="H65" s="31"/>
      <c r="I65" s="30"/>
      <c r="J65" s="32"/>
      <c r="K65" s="32"/>
      <c r="L65" s="47"/>
      <c r="M65" s="26"/>
      <c r="N65" s="26"/>
      <c r="O65" s="26"/>
      <c r="P65" s="26"/>
      <c r="Q65" s="26"/>
      <c r="R65" s="26"/>
      <c r="S65" s="26"/>
      <c r="T65" s="26"/>
      <c r="U65" s="26"/>
      <c r="V65" s="26"/>
      <c r="W65" s="26"/>
      <c r="X65" s="26"/>
      <c r="Y65" s="26"/>
      <c r="Z65" s="26"/>
      <c r="AA65" s="26"/>
      <c r="AB65" s="26"/>
    </row>
    <row r="66">
      <c r="A66" s="34"/>
      <c r="B66" s="35"/>
      <c r="C66" s="30"/>
      <c r="D66" s="30"/>
      <c r="E66" s="30"/>
      <c r="F66" s="30"/>
      <c r="G66" s="30"/>
      <c r="H66" s="31"/>
      <c r="I66" s="30"/>
      <c r="J66" s="32"/>
      <c r="K66" s="32"/>
      <c r="L66" s="47"/>
      <c r="M66" s="26"/>
      <c r="N66" s="26"/>
      <c r="O66" s="26"/>
      <c r="P66" s="26"/>
      <c r="Q66" s="26"/>
      <c r="R66" s="26"/>
      <c r="S66" s="26"/>
      <c r="T66" s="26"/>
      <c r="U66" s="26"/>
      <c r="V66" s="26"/>
      <c r="W66" s="26"/>
      <c r="X66" s="26"/>
      <c r="Y66" s="26"/>
      <c r="Z66" s="26"/>
      <c r="AA66" s="26"/>
      <c r="AB66" s="26"/>
    </row>
    <row r="67">
      <c r="A67" s="34"/>
      <c r="B67" s="35"/>
      <c r="C67" s="30"/>
      <c r="D67" s="30"/>
      <c r="E67" s="30"/>
      <c r="F67" s="30"/>
      <c r="G67" s="30"/>
      <c r="H67" s="31"/>
      <c r="I67" s="30"/>
      <c r="J67" s="32"/>
      <c r="K67" s="32"/>
      <c r="L67" s="47"/>
      <c r="M67" s="26"/>
      <c r="N67" s="26"/>
      <c r="O67" s="26"/>
      <c r="P67" s="26"/>
      <c r="Q67" s="26"/>
      <c r="R67" s="26"/>
      <c r="S67" s="26"/>
      <c r="T67" s="26"/>
      <c r="U67" s="26"/>
      <c r="V67" s="26"/>
      <c r="W67" s="26"/>
      <c r="X67" s="26"/>
      <c r="Y67" s="26"/>
      <c r="Z67" s="26"/>
      <c r="AA67" s="26"/>
      <c r="AB67" s="26"/>
    </row>
    <row r="68">
      <c r="A68" s="34"/>
      <c r="B68" s="35"/>
      <c r="C68" s="30"/>
      <c r="D68" s="30"/>
      <c r="E68" s="30"/>
      <c r="F68" s="30"/>
      <c r="G68" s="30"/>
      <c r="H68" s="31"/>
      <c r="I68" s="30"/>
      <c r="J68" s="32"/>
      <c r="K68" s="32"/>
      <c r="L68" s="47"/>
      <c r="M68" s="26"/>
      <c r="N68" s="26"/>
      <c r="O68" s="26"/>
      <c r="P68" s="26"/>
      <c r="Q68" s="26"/>
      <c r="R68" s="26"/>
      <c r="S68" s="26"/>
      <c r="T68" s="26"/>
      <c r="U68" s="26"/>
      <c r="V68" s="26"/>
      <c r="W68" s="26"/>
      <c r="X68" s="26"/>
      <c r="Y68" s="26"/>
      <c r="Z68" s="26"/>
      <c r="AA68" s="26"/>
      <c r="AB68" s="26"/>
    </row>
    <row r="69">
      <c r="A69" s="34"/>
      <c r="B69" s="35"/>
      <c r="C69" s="30"/>
      <c r="D69" s="30"/>
      <c r="E69" s="30"/>
      <c r="F69" s="30"/>
      <c r="G69" s="30"/>
      <c r="H69" s="31"/>
      <c r="I69" s="30"/>
      <c r="J69" s="32"/>
      <c r="K69" s="32"/>
      <c r="L69" s="47"/>
      <c r="M69" s="26"/>
      <c r="N69" s="26"/>
      <c r="O69" s="26"/>
      <c r="P69" s="26"/>
      <c r="Q69" s="26"/>
      <c r="R69" s="26"/>
      <c r="S69" s="26"/>
      <c r="T69" s="26"/>
      <c r="U69" s="26"/>
      <c r="V69" s="26"/>
      <c r="W69" s="26"/>
      <c r="X69" s="26"/>
      <c r="Y69" s="26"/>
      <c r="Z69" s="26"/>
      <c r="AA69" s="26"/>
      <c r="AB69" s="26"/>
    </row>
    <row r="70">
      <c r="A70" s="34"/>
      <c r="B70" s="35"/>
      <c r="C70" s="30"/>
      <c r="D70" s="30"/>
      <c r="E70" s="30"/>
      <c r="F70" s="30"/>
      <c r="G70" s="30"/>
      <c r="H70" s="31"/>
      <c r="I70" s="30"/>
      <c r="J70" s="32"/>
      <c r="K70" s="32"/>
      <c r="L70" s="47"/>
      <c r="M70" s="26"/>
      <c r="N70" s="26"/>
      <c r="O70" s="26"/>
      <c r="P70" s="26"/>
      <c r="Q70" s="26"/>
      <c r="R70" s="26"/>
      <c r="S70" s="26"/>
      <c r="T70" s="26"/>
      <c r="U70" s="26"/>
      <c r="V70" s="26"/>
      <c r="W70" s="26"/>
      <c r="X70" s="26"/>
      <c r="Y70" s="26"/>
      <c r="Z70" s="26"/>
      <c r="AA70" s="26"/>
      <c r="AB70" s="26"/>
    </row>
    <row r="71">
      <c r="A71" s="34"/>
      <c r="B71" s="35"/>
      <c r="C71" s="30"/>
      <c r="D71" s="30"/>
      <c r="E71" s="30"/>
      <c r="F71" s="30"/>
      <c r="G71" s="30"/>
      <c r="H71" s="31"/>
      <c r="I71" s="30"/>
      <c r="J71" s="32"/>
      <c r="K71" s="32"/>
      <c r="L71" s="47"/>
      <c r="M71" s="26"/>
      <c r="N71" s="26"/>
      <c r="O71" s="26"/>
      <c r="P71" s="26"/>
      <c r="Q71" s="26"/>
      <c r="R71" s="26"/>
      <c r="S71" s="26"/>
      <c r="T71" s="26"/>
      <c r="U71" s="26"/>
      <c r="V71" s="26"/>
      <c r="W71" s="26"/>
      <c r="X71" s="26"/>
      <c r="Y71" s="26"/>
      <c r="Z71" s="26"/>
      <c r="AA71" s="26"/>
      <c r="AB71" s="26"/>
    </row>
    <row r="72">
      <c r="A72" s="34"/>
      <c r="B72" s="35"/>
      <c r="C72" s="30"/>
      <c r="D72" s="30"/>
      <c r="E72" s="30"/>
      <c r="F72" s="30"/>
      <c r="G72" s="30"/>
      <c r="H72" s="31"/>
      <c r="I72" s="30"/>
      <c r="J72" s="32"/>
      <c r="K72" s="32"/>
      <c r="L72" s="47"/>
      <c r="M72" s="26"/>
      <c r="N72" s="26"/>
      <c r="O72" s="26"/>
      <c r="P72" s="26"/>
      <c r="Q72" s="26"/>
      <c r="R72" s="26"/>
      <c r="S72" s="26"/>
      <c r="T72" s="26"/>
      <c r="U72" s="26"/>
      <c r="V72" s="26"/>
      <c r="W72" s="26"/>
      <c r="X72" s="26"/>
      <c r="Y72" s="26"/>
      <c r="Z72" s="26"/>
      <c r="AA72" s="26"/>
      <c r="AB72" s="26"/>
    </row>
    <row r="73">
      <c r="A73" s="34"/>
      <c r="B73" s="35"/>
      <c r="C73" s="30"/>
      <c r="D73" s="30"/>
      <c r="E73" s="30"/>
      <c r="F73" s="30"/>
      <c r="G73" s="30"/>
      <c r="H73" s="31"/>
      <c r="I73" s="30"/>
      <c r="J73" s="32"/>
      <c r="K73" s="32"/>
      <c r="L73" s="47"/>
      <c r="M73" s="26"/>
      <c r="N73" s="26"/>
      <c r="O73" s="26"/>
      <c r="P73" s="26"/>
      <c r="Q73" s="26"/>
      <c r="R73" s="26"/>
      <c r="S73" s="26"/>
      <c r="T73" s="26"/>
      <c r="U73" s="26"/>
      <c r="V73" s="26"/>
      <c r="W73" s="26"/>
      <c r="X73" s="26"/>
      <c r="Y73" s="26"/>
      <c r="Z73" s="26"/>
      <c r="AA73" s="26"/>
      <c r="AB73" s="26"/>
    </row>
    <row r="74">
      <c r="A74" s="34"/>
      <c r="B74" s="35"/>
      <c r="C74" s="30"/>
      <c r="D74" s="30"/>
      <c r="E74" s="30"/>
      <c r="F74" s="30"/>
      <c r="G74" s="30"/>
      <c r="H74" s="31"/>
      <c r="I74" s="30"/>
      <c r="J74" s="32"/>
      <c r="K74" s="32"/>
      <c r="L74" s="47"/>
      <c r="M74" s="26"/>
      <c r="N74" s="26"/>
      <c r="O74" s="26"/>
      <c r="P74" s="26"/>
      <c r="Q74" s="26"/>
      <c r="R74" s="26"/>
      <c r="S74" s="26"/>
      <c r="T74" s="26"/>
      <c r="U74" s="26"/>
      <c r="V74" s="26"/>
      <c r="W74" s="26"/>
      <c r="X74" s="26"/>
      <c r="Y74" s="26"/>
      <c r="Z74" s="26"/>
      <c r="AA74" s="26"/>
      <c r="AB74" s="26"/>
    </row>
    <row r="75">
      <c r="A75" s="34"/>
      <c r="B75" s="35"/>
      <c r="C75" s="30"/>
      <c r="D75" s="30"/>
      <c r="E75" s="30"/>
      <c r="F75" s="30"/>
      <c r="G75" s="30"/>
      <c r="H75" s="31"/>
      <c r="I75" s="30"/>
      <c r="J75" s="32"/>
      <c r="K75" s="32"/>
      <c r="L75" s="47"/>
      <c r="M75" s="26"/>
      <c r="N75" s="26"/>
      <c r="O75" s="26"/>
      <c r="P75" s="26"/>
      <c r="Q75" s="26"/>
      <c r="R75" s="26"/>
      <c r="S75" s="26"/>
      <c r="T75" s="26"/>
      <c r="U75" s="26"/>
      <c r="V75" s="26"/>
      <c r="W75" s="26"/>
      <c r="X75" s="26"/>
      <c r="Y75" s="26"/>
      <c r="Z75" s="26"/>
      <c r="AA75" s="26"/>
      <c r="AB75" s="26"/>
    </row>
    <row r="76">
      <c r="A76" s="34"/>
      <c r="B76" s="35"/>
      <c r="C76" s="30"/>
      <c r="D76" s="30"/>
      <c r="E76" s="30"/>
      <c r="F76" s="30"/>
      <c r="G76" s="30"/>
      <c r="H76" s="31"/>
      <c r="I76" s="30"/>
      <c r="J76" s="32"/>
      <c r="K76" s="32"/>
      <c r="L76" s="47"/>
      <c r="M76" s="26"/>
      <c r="N76" s="26"/>
      <c r="O76" s="26"/>
      <c r="P76" s="26"/>
      <c r="Q76" s="26"/>
      <c r="R76" s="26"/>
      <c r="S76" s="26"/>
      <c r="T76" s="26"/>
      <c r="U76" s="26"/>
      <c r="V76" s="26"/>
      <c r="W76" s="26"/>
      <c r="X76" s="26"/>
      <c r="Y76" s="26"/>
      <c r="Z76" s="26"/>
      <c r="AA76" s="26"/>
      <c r="AB76" s="26"/>
    </row>
    <row r="77">
      <c r="A77" s="34"/>
      <c r="B77" s="35"/>
      <c r="C77" s="30"/>
      <c r="D77" s="30"/>
      <c r="E77" s="30"/>
      <c r="F77" s="30"/>
      <c r="G77" s="30"/>
      <c r="H77" s="31"/>
      <c r="I77" s="30"/>
      <c r="J77" s="32"/>
      <c r="K77" s="32"/>
      <c r="L77" s="47"/>
      <c r="M77" s="26"/>
      <c r="N77" s="26"/>
      <c r="O77" s="26"/>
      <c r="P77" s="26"/>
      <c r="Q77" s="26"/>
      <c r="R77" s="26"/>
      <c r="S77" s="26"/>
      <c r="T77" s="26"/>
      <c r="U77" s="26"/>
      <c r="V77" s="26"/>
      <c r="W77" s="26"/>
      <c r="X77" s="26"/>
      <c r="Y77" s="26"/>
      <c r="Z77" s="26"/>
      <c r="AA77" s="26"/>
      <c r="AB77" s="26"/>
    </row>
    <row r="78">
      <c r="A78" s="34"/>
      <c r="B78" s="35"/>
      <c r="C78" s="30"/>
      <c r="D78" s="30"/>
      <c r="E78" s="30"/>
      <c r="F78" s="30"/>
      <c r="G78" s="30"/>
      <c r="H78" s="31"/>
      <c r="I78" s="30"/>
      <c r="J78" s="32"/>
      <c r="K78" s="32"/>
      <c r="L78" s="47"/>
      <c r="M78" s="26"/>
      <c r="N78" s="26"/>
      <c r="O78" s="26"/>
      <c r="P78" s="26"/>
      <c r="Q78" s="26"/>
      <c r="R78" s="26"/>
      <c r="S78" s="26"/>
      <c r="T78" s="26"/>
      <c r="U78" s="26"/>
      <c r="V78" s="26"/>
      <c r="W78" s="26"/>
      <c r="X78" s="26"/>
      <c r="Y78" s="26"/>
      <c r="Z78" s="26"/>
      <c r="AA78" s="26"/>
      <c r="AB78" s="26"/>
    </row>
    <row r="79">
      <c r="A79" s="34"/>
      <c r="B79" s="35"/>
      <c r="C79" s="30"/>
      <c r="D79" s="30"/>
      <c r="E79" s="30"/>
      <c r="F79" s="30"/>
      <c r="G79" s="30"/>
      <c r="H79" s="31"/>
      <c r="I79" s="30"/>
      <c r="J79" s="32"/>
      <c r="K79" s="32"/>
      <c r="L79" s="47"/>
      <c r="M79" s="26"/>
      <c r="N79" s="26"/>
      <c r="O79" s="26"/>
      <c r="P79" s="26"/>
      <c r="Q79" s="26"/>
      <c r="R79" s="26"/>
      <c r="S79" s="26"/>
      <c r="T79" s="26"/>
      <c r="U79" s="26"/>
      <c r="V79" s="26"/>
      <c r="W79" s="26"/>
      <c r="X79" s="26"/>
      <c r="Y79" s="26"/>
      <c r="Z79" s="26"/>
      <c r="AA79" s="26"/>
      <c r="AB79" s="26"/>
    </row>
    <row r="80">
      <c r="A80" s="34"/>
      <c r="B80" s="35"/>
      <c r="C80" s="30"/>
      <c r="D80" s="30"/>
      <c r="E80" s="30"/>
      <c r="F80" s="30"/>
      <c r="G80" s="30"/>
      <c r="H80" s="31"/>
      <c r="I80" s="30"/>
      <c r="J80" s="32"/>
      <c r="K80" s="32"/>
      <c r="L80" s="47"/>
      <c r="M80" s="26"/>
      <c r="N80" s="26"/>
      <c r="O80" s="26"/>
      <c r="P80" s="26"/>
      <c r="Q80" s="26"/>
      <c r="R80" s="26"/>
      <c r="S80" s="26"/>
      <c r="T80" s="26"/>
      <c r="U80" s="26"/>
      <c r="V80" s="26"/>
      <c r="W80" s="26"/>
      <c r="X80" s="26"/>
      <c r="Y80" s="26"/>
      <c r="Z80" s="26"/>
      <c r="AA80" s="26"/>
      <c r="AB80" s="26"/>
    </row>
    <row r="81">
      <c r="A81" s="34"/>
      <c r="B81" s="35"/>
      <c r="C81" s="30"/>
      <c r="D81" s="30"/>
      <c r="E81" s="30"/>
      <c r="F81" s="30"/>
      <c r="G81" s="30"/>
      <c r="H81" s="31"/>
      <c r="I81" s="30"/>
      <c r="J81" s="32"/>
      <c r="K81" s="32"/>
      <c r="L81" s="47"/>
      <c r="M81" s="26"/>
      <c r="N81" s="26"/>
      <c r="O81" s="26"/>
      <c r="P81" s="26"/>
      <c r="Q81" s="26"/>
      <c r="R81" s="26"/>
      <c r="S81" s="26"/>
      <c r="T81" s="26"/>
      <c r="U81" s="26"/>
      <c r="V81" s="26"/>
      <c r="W81" s="26"/>
      <c r="X81" s="26"/>
      <c r="Y81" s="26"/>
      <c r="Z81" s="26"/>
      <c r="AA81" s="26"/>
      <c r="AB81" s="26"/>
    </row>
    <row r="82">
      <c r="A82" s="34"/>
      <c r="B82" s="35"/>
      <c r="C82" s="30"/>
      <c r="D82" s="30"/>
      <c r="E82" s="30"/>
      <c r="F82" s="30"/>
      <c r="G82" s="30"/>
      <c r="H82" s="31"/>
      <c r="I82" s="30"/>
      <c r="J82" s="32"/>
      <c r="K82" s="32"/>
      <c r="L82" s="47"/>
      <c r="M82" s="26"/>
      <c r="N82" s="26"/>
      <c r="O82" s="26"/>
      <c r="P82" s="26"/>
      <c r="Q82" s="26"/>
      <c r="R82" s="26"/>
      <c r="S82" s="26"/>
      <c r="T82" s="26"/>
      <c r="U82" s="26"/>
      <c r="V82" s="26"/>
      <c r="W82" s="26"/>
      <c r="X82" s="26"/>
      <c r="Y82" s="26"/>
      <c r="Z82" s="26"/>
      <c r="AA82" s="26"/>
      <c r="AB82" s="26"/>
    </row>
    <row r="83">
      <c r="A83" s="34"/>
      <c r="B83" s="35"/>
      <c r="C83" s="30"/>
      <c r="D83" s="30"/>
      <c r="E83" s="30"/>
      <c r="F83" s="30"/>
      <c r="G83" s="30"/>
      <c r="H83" s="31"/>
      <c r="I83" s="30"/>
      <c r="J83" s="32"/>
      <c r="K83" s="32"/>
      <c r="L83" s="47"/>
      <c r="M83" s="26"/>
      <c r="N83" s="26"/>
      <c r="O83" s="26"/>
      <c r="P83" s="26"/>
      <c r="Q83" s="26"/>
      <c r="R83" s="26"/>
      <c r="S83" s="26"/>
      <c r="T83" s="26"/>
      <c r="U83" s="26"/>
      <c r="V83" s="26"/>
      <c r="W83" s="26"/>
      <c r="X83" s="26"/>
      <c r="Y83" s="26"/>
      <c r="Z83" s="26"/>
      <c r="AA83" s="26"/>
      <c r="AB83" s="26"/>
    </row>
    <row r="84">
      <c r="A84" s="34"/>
      <c r="B84" s="35"/>
      <c r="C84" s="30"/>
      <c r="D84" s="30"/>
      <c r="E84" s="30"/>
      <c r="F84" s="30"/>
      <c r="G84" s="30"/>
      <c r="H84" s="31"/>
      <c r="I84" s="30"/>
      <c r="J84" s="32"/>
      <c r="K84" s="32"/>
      <c r="L84" s="47"/>
      <c r="M84" s="26"/>
      <c r="N84" s="26"/>
      <c r="O84" s="26"/>
      <c r="P84" s="26"/>
      <c r="Q84" s="26"/>
      <c r="R84" s="26"/>
      <c r="S84" s="26"/>
      <c r="T84" s="26"/>
      <c r="U84" s="26"/>
      <c r="V84" s="26"/>
      <c r="W84" s="26"/>
      <c r="X84" s="26"/>
      <c r="Y84" s="26"/>
      <c r="Z84" s="26"/>
      <c r="AA84" s="26"/>
      <c r="AB84" s="26"/>
    </row>
    <row r="85">
      <c r="A85" s="34"/>
      <c r="B85" s="35"/>
      <c r="C85" s="30"/>
      <c r="D85" s="30"/>
      <c r="E85" s="30"/>
      <c r="F85" s="30"/>
      <c r="G85" s="30"/>
      <c r="H85" s="31"/>
      <c r="I85" s="30"/>
      <c r="J85" s="32"/>
      <c r="K85" s="32"/>
      <c r="L85" s="47"/>
      <c r="M85" s="26"/>
      <c r="N85" s="26"/>
      <c r="O85" s="26"/>
      <c r="P85" s="26"/>
      <c r="Q85" s="26"/>
      <c r="R85" s="26"/>
      <c r="S85" s="26"/>
      <c r="T85" s="26"/>
      <c r="U85" s="26"/>
      <c r="V85" s="26"/>
      <c r="W85" s="26"/>
      <c r="X85" s="26"/>
      <c r="Y85" s="26"/>
      <c r="Z85" s="26"/>
      <c r="AA85" s="26"/>
      <c r="AB85" s="26"/>
    </row>
    <row r="86">
      <c r="A86" s="34"/>
      <c r="B86" s="35"/>
      <c r="C86" s="30"/>
      <c r="D86" s="30"/>
      <c r="E86" s="30"/>
      <c r="F86" s="30"/>
      <c r="G86" s="30"/>
      <c r="H86" s="31"/>
      <c r="I86" s="30"/>
      <c r="J86" s="32"/>
      <c r="K86" s="32"/>
      <c r="L86" s="47"/>
      <c r="M86" s="26"/>
      <c r="N86" s="26"/>
      <c r="O86" s="26"/>
      <c r="P86" s="26"/>
      <c r="Q86" s="26"/>
      <c r="R86" s="26"/>
      <c r="S86" s="26"/>
      <c r="T86" s="26"/>
      <c r="U86" s="26"/>
      <c r="V86" s="26"/>
      <c r="W86" s="26"/>
      <c r="X86" s="26"/>
      <c r="Y86" s="26"/>
      <c r="Z86" s="26"/>
      <c r="AA86" s="26"/>
      <c r="AB86" s="26"/>
    </row>
    <row r="87">
      <c r="A87" s="34"/>
      <c r="B87" s="35"/>
      <c r="C87" s="30"/>
      <c r="D87" s="30"/>
      <c r="E87" s="30"/>
      <c r="F87" s="30"/>
      <c r="G87" s="30"/>
      <c r="H87" s="31"/>
      <c r="I87" s="30"/>
      <c r="J87" s="32"/>
      <c r="K87" s="32"/>
      <c r="L87" s="47"/>
      <c r="M87" s="26"/>
      <c r="N87" s="26"/>
      <c r="O87" s="26"/>
      <c r="P87" s="26"/>
      <c r="Q87" s="26"/>
      <c r="R87" s="26"/>
      <c r="S87" s="26"/>
      <c r="T87" s="26"/>
      <c r="U87" s="26"/>
      <c r="V87" s="26"/>
      <c r="W87" s="26"/>
      <c r="X87" s="26"/>
      <c r="Y87" s="26"/>
      <c r="Z87" s="26"/>
      <c r="AA87" s="26"/>
      <c r="AB87" s="26"/>
    </row>
    <row r="88">
      <c r="A88" s="34"/>
      <c r="B88" s="35"/>
      <c r="C88" s="30"/>
      <c r="D88" s="30"/>
      <c r="E88" s="30"/>
      <c r="F88" s="30"/>
      <c r="G88" s="30"/>
      <c r="H88" s="31"/>
      <c r="I88" s="30"/>
      <c r="J88" s="32"/>
      <c r="K88" s="32"/>
      <c r="L88" s="47"/>
      <c r="M88" s="26"/>
      <c r="N88" s="26"/>
      <c r="O88" s="26"/>
      <c r="P88" s="26"/>
      <c r="Q88" s="26"/>
      <c r="R88" s="26"/>
      <c r="S88" s="26"/>
      <c r="T88" s="26"/>
      <c r="U88" s="26"/>
      <c r="V88" s="26"/>
      <c r="W88" s="26"/>
      <c r="X88" s="26"/>
      <c r="Y88" s="26"/>
      <c r="Z88" s="26"/>
      <c r="AA88" s="26"/>
      <c r="AB88" s="26"/>
    </row>
    <row r="89">
      <c r="A89" s="34"/>
      <c r="B89" s="35"/>
      <c r="C89" s="30"/>
      <c r="D89" s="30"/>
      <c r="E89" s="30"/>
      <c r="F89" s="30"/>
      <c r="G89" s="30"/>
      <c r="H89" s="31"/>
      <c r="I89" s="30"/>
      <c r="J89" s="32"/>
      <c r="K89" s="32"/>
      <c r="L89" s="47"/>
      <c r="M89" s="26"/>
      <c r="N89" s="26"/>
      <c r="O89" s="26"/>
      <c r="P89" s="26"/>
      <c r="Q89" s="26"/>
      <c r="R89" s="26"/>
      <c r="S89" s="26"/>
      <c r="T89" s="26"/>
      <c r="U89" s="26"/>
      <c r="V89" s="26"/>
      <c r="W89" s="26"/>
      <c r="X89" s="26"/>
      <c r="Y89" s="26"/>
      <c r="Z89" s="26"/>
      <c r="AA89" s="26"/>
      <c r="AB89" s="26"/>
    </row>
    <row r="90">
      <c r="A90" s="34"/>
      <c r="B90" s="35"/>
      <c r="C90" s="30"/>
      <c r="D90" s="30"/>
      <c r="E90" s="30"/>
      <c r="F90" s="30"/>
      <c r="G90" s="30"/>
      <c r="H90" s="31"/>
      <c r="I90" s="30"/>
      <c r="J90" s="32"/>
      <c r="K90" s="32"/>
      <c r="L90" s="47"/>
      <c r="M90" s="26"/>
      <c r="N90" s="26"/>
      <c r="O90" s="26"/>
      <c r="P90" s="26"/>
      <c r="Q90" s="26"/>
      <c r="R90" s="26"/>
      <c r="S90" s="26"/>
      <c r="T90" s="26"/>
      <c r="U90" s="26"/>
      <c r="V90" s="26"/>
      <c r="W90" s="26"/>
      <c r="X90" s="26"/>
      <c r="Y90" s="26"/>
      <c r="Z90" s="26"/>
      <c r="AA90" s="26"/>
      <c r="AB90" s="26"/>
    </row>
    <row r="91">
      <c r="A91" s="34"/>
      <c r="B91" s="35"/>
      <c r="C91" s="30"/>
      <c r="D91" s="30"/>
      <c r="E91" s="30"/>
      <c r="F91" s="30"/>
      <c r="G91" s="30"/>
      <c r="H91" s="31"/>
      <c r="I91" s="30"/>
      <c r="J91" s="32"/>
      <c r="K91" s="32"/>
      <c r="L91" s="47"/>
      <c r="M91" s="26"/>
      <c r="N91" s="26"/>
      <c r="O91" s="26"/>
      <c r="P91" s="26"/>
      <c r="Q91" s="26"/>
      <c r="R91" s="26"/>
      <c r="S91" s="26"/>
      <c r="T91" s="26"/>
      <c r="U91" s="26"/>
      <c r="V91" s="26"/>
      <c r="W91" s="26"/>
      <c r="X91" s="26"/>
      <c r="Y91" s="26"/>
      <c r="Z91" s="26"/>
      <c r="AA91" s="26"/>
      <c r="AB91" s="26"/>
    </row>
    <row r="92">
      <c r="A92" s="34"/>
      <c r="B92" s="35"/>
      <c r="C92" s="30"/>
      <c r="D92" s="30"/>
      <c r="E92" s="30"/>
      <c r="F92" s="30"/>
      <c r="G92" s="30"/>
      <c r="H92" s="31"/>
      <c r="I92" s="30"/>
      <c r="J92" s="32"/>
      <c r="K92" s="32"/>
      <c r="L92" s="47"/>
      <c r="M92" s="26"/>
      <c r="N92" s="26"/>
      <c r="O92" s="26"/>
      <c r="P92" s="26"/>
      <c r="Q92" s="26"/>
      <c r="R92" s="26"/>
      <c r="S92" s="26"/>
      <c r="T92" s="26"/>
      <c r="U92" s="26"/>
      <c r="V92" s="26"/>
      <c r="W92" s="26"/>
      <c r="X92" s="26"/>
      <c r="Y92" s="26"/>
      <c r="Z92" s="26"/>
      <c r="AA92" s="26"/>
      <c r="AB92" s="26"/>
    </row>
    <row r="93">
      <c r="A93" s="34"/>
      <c r="B93" s="35"/>
      <c r="C93" s="30"/>
      <c r="D93" s="30"/>
      <c r="E93" s="30"/>
      <c r="F93" s="30"/>
      <c r="G93" s="30"/>
      <c r="H93" s="31"/>
      <c r="I93" s="30"/>
      <c r="J93" s="32"/>
      <c r="K93" s="32"/>
      <c r="L93" s="47"/>
      <c r="M93" s="26"/>
      <c r="N93" s="26"/>
      <c r="O93" s="26"/>
      <c r="P93" s="26"/>
      <c r="Q93" s="26"/>
      <c r="R93" s="26"/>
      <c r="S93" s="26"/>
      <c r="T93" s="26"/>
      <c r="U93" s="26"/>
      <c r="V93" s="26"/>
      <c r="W93" s="26"/>
      <c r="X93" s="26"/>
      <c r="Y93" s="26"/>
      <c r="Z93" s="26"/>
      <c r="AA93" s="26"/>
      <c r="AB93" s="26"/>
    </row>
    <row r="94">
      <c r="A94" s="34"/>
      <c r="B94" s="35"/>
      <c r="C94" s="30"/>
      <c r="D94" s="30"/>
      <c r="E94" s="30"/>
      <c r="F94" s="30"/>
      <c r="G94" s="30"/>
      <c r="H94" s="31"/>
      <c r="I94" s="30"/>
      <c r="J94" s="32"/>
      <c r="K94" s="32"/>
      <c r="L94" s="47"/>
      <c r="M94" s="26"/>
      <c r="N94" s="26"/>
      <c r="O94" s="26"/>
      <c r="P94" s="26"/>
      <c r="Q94" s="26"/>
      <c r="R94" s="26"/>
      <c r="S94" s="26"/>
      <c r="T94" s="26"/>
      <c r="U94" s="26"/>
      <c r="V94" s="26"/>
      <c r="W94" s="26"/>
      <c r="X94" s="26"/>
      <c r="Y94" s="26"/>
      <c r="Z94" s="26"/>
      <c r="AA94" s="26"/>
      <c r="AB94" s="26"/>
    </row>
    <row r="95">
      <c r="A95" s="34"/>
      <c r="B95" s="35"/>
      <c r="C95" s="30"/>
      <c r="D95" s="30"/>
      <c r="E95" s="30"/>
      <c r="F95" s="30"/>
      <c r="G95" s="30"/>
      <c r="H95" s="31"/>
      <c r="I95" s="30"/>
      <c r="J95" s="32"/>
      <c r="K95" s="32"/>
      <c r="L95" s="47"/>
      <c r="M95" s="26"/>
      <c r="N95" s="26"/>
      <c r="O95" s="26"/>
      <c r="P95" s="26"/>
      <c r="Q95" s="26"/>
      <c r="R95" s="26"/>
      <c r="S95" s="26"/>
      <c r="T95" s="26"/>
      <c r="U95" s="26"/>
      <c r="V95" s="26"/>
      <c r="W95" s="26"/>
      <c r="X95" s="26"/>
      <c r="Y95" s="26"/>
      <c r="Z95" s="26"/>
      <c r="AA95" s="26"/>
      <c r="AB95" s="26"/>
    </row>
    <row r="96">
      <c r="A96" s="34"/>
      <c r="B96" s="35"/>
      <c r="C96" s="30"/>
      <c r="D96" s="30"/>
      <c r="E96" s="30"/>
      <c r="F96" s="30"/>
      <c r="G96" s="30"/>
      <c r="H96" s="31"/>
      <c r="I96" s="30"/>
      <c r="J96" s="32"/>
      <c r="K96" s="32"/>
      <c r="L96" s="47"/>
      <c r="M96" s="26"/>
      <c r="N96" s="26"/>
      <c r="O96" s="26"/>
      <c r="P96" s="26"/>
      <c r="Q96" s="26"/>
      <c r="R96" s="26"/>
      <c r="S96" s="26"/>
      <c r="T96" s="26"/>
      <c r="U96" s="26"/>
      <c r="V96" s="26"/>
      <c r="W96" s="26"/>
      <c r="X96" s="26"/>
      <c r="Y96" s="26"/>
      <c r="Z96" s="26"/>
      <c r="AA96" s="26"/>
      <c r="AB96" s="26"/>
    </row>
    <row r="97">
      <c r="A97" s="34"/>
      <c r="B97" s="35"/>
      <c r="C97" s="30"/>
      <c r="D97" s="30"/>
      <c r="E97" s="30"/>
      <c r="F97" s="30"/>
      <c r="G97" s="30"/>
      <c r="H97" s="31"/>
      <c r="I97" s="30"/>
      <c r="J97" s="32"/>
      <c r="K97" s="32"/>
      <c r="L97" s="47"/>
      <c r="M97" s="26"/>
      <c r="N97" s="26"/>
      <c r="O97" s="26"/>
      <c r="P97" s="26"/>
      <c r="Q97" s="26"/>
      <c r="R97" s="26"/>
      <c r="S97" s="26"/>
      <c r="T97" s="26"/>
      <c r="U97" s="26"/>
      <c r="V97" s="26"/>
      <c r="W97" s="26"/>
      <c r="X97" s="26"/>
      <c r="Y97" s="26"/>
      <c r="Z97" s="26"/>
      <c r="AA97" s="26"/>
      <c r="AB97" s="26"/>
    </row>
    <row r="98">
      <c r="A98" s="34"/>
      <c r="B98" s="35"/>
      <c r="C98" s="30"/>
      <c r="D98" s="30"/>
      <c r="E98" s="30"/>
      <c r="F98" s="30"/>
      <c r="G98" s="30"/>
      <c r="H98" s="31"/>
      <c r="I98" s="30"/>
      <c r="J98" s="32"/>
      <c r="K98" s="32"/>
      <c r="L98" s="47"/>
      <c r="M98" s="26"/>
      <c r="N98" s="26"/>
      <c r="O98" s="26"/>
      <c r="P98" s="26"/>
      <c r="Q98" s="26"/>
      <c r="R98" s="26"/>
      <c r="S98" s="26"/>
      <c r="T98" s="26"/>
      <c r="U98" s="26"/>
      <c r="V98" s="26"/>
      <c r="W98" s="26"/>
      <c r="X98" s="26"/>
      <c r="Y98" s="26"/>
      <c r="Z98" s="26"/>
      <c r="AA98" s="26"/>
      <c r="AB98" s="26"/>
    </row>
    <row r="99">
      <c r="A99" s="34"/>
      <c r="B99" s="35"/>
      <c r="C99" s="30"/>
      <c r="D99" s="30"/>
      <c r="E99" s="30"/>
      <c r="F99" s="30"/>
      <c r="G99" s="30"/>
      <c r="H99" s="31"/>
      <c r="I99" s="30"/>
      <c r="J99" s="32"/>
      <c r="K99" s="32"/>
      <c r="L99" s="47"/>
      <c r="M99" s="26"/>
      <c r="N99" s="26"/>
      <c r="O99" s="26"/>
      <c r="P99" s="26"/>
      <c r="Q99" s="26"/>
      <c r="R99" s="26"/>
      <c r="S99" s="26"/>
      <c r="T99" s="26"/>
      <c r="U99" s="26"/>
      <c r="V99" s="26"/>
      <c r="W99" s="26"/>
      <c r="X99" s="26"/>
      <c r="Y99" s="26"/>
      <c r="Z99" s="26"/>
      <c r="AA99" s="26"/>
      <c r="AB99" s="26"/>
    </row>
    <row r="100">
      <c r="A100" s="34"/>
      <c r="B100" s="35"/>
      <c r="C100" s="30"/>
      <c r="D100" s="30"/>
      <c r="E100" s="30"/>
      <c r="F100" s="30"/>
      <c r="G100" s="30"/>
      <c r="H100" s="31"/>
      <c r="I100" s="30"/>
      <c r="J100" s="32"/>
      <c r="K100" s="32"/>
      <c r="L100" s="47"/>
      <c r="M100" s="26"/>
      <c r="N100" s="26"/>
      <c r="O100" s="26"/>
      <c r="P100" s="26"/>
      <c r="Q100" s="26"/>
      <c r="R100" s="26"/>
      <c r="S100" s="26"/>
      <c r="T100" s="26"/>
      <c r="U100" s="26"/>
      <c r="V100" s="26"/>
      <c r="W100" s="26"/>
      <c r="X100" s="26"/>
      <c r="Y100" s="26"/>
      <c r="Z100" s="26"/>
      <c r="AA100" s="26"/>
      <c r="AB100" s="26"/>
    </row>
    <row r="101">
      <c r="A101" s="34"/>
      <c r="B101" s="35"/>
      <c r="C101" s="30"/>
      <c r="D101" s="30"/>
      <c r="E101" s="30"/>
      <c r="F101" s="30"/>
      <c r="G101" s="30"/>
      <c r="H101" s="31"/>
      <c r="I101" s="30"/>
      <c r="J101" s="32"/>
      <c r="K101" s="32"/>
      <c r="L101" s="47"/>
      <c r="M101" s="26"/>
      <c r="N101" s="26"/>
      <c r="O101" s="26"/>
      <c r="P101" s="26"/>
      <c r="Q101" s="26"/>
      <c r="R101" s="26"/>
      <c r="S101" s="26"/>
      <c r="T101" s="26"/>
      <c r="U101" s="26"/>
      <c r="V101" s="26"/>
      <c r="W101" s="26"/>
      <c r="X101" s="26"/>
      <c r="Y101" s="26"/>
      <c r="Z101" s="26"/>
      <c r="AA101" s="26"/>
      <c r="AB101" s="26"/>
    </row>
    <row r="102">
      <c r="A102" s="34"/>
      <c r="B102" s="35"/>
      <c r="C102" s="30"/>
      <c r="D102" s="30"/>
      <c r="E102" s="30"/>
      <c r="F102" s="30"/>
      <c r="G102" s="30"/>
      <c r="H102" s="31"/>
      <c r="I102" s="30"/>
      <c r="J102" s="32"/>
      <c r="K102" s="32"/>
      <c r="L102" s="47"/>
      <c r="M102" s="26"/>
      <c r="N102" s="26"/>
      <c r="O102" s="26"/>
      <c r="P102" s="26"/>
      <c r="Q102" s="26"/>
      <c r="R102" s="26"/>
      <c r="S102" s="26"/>
      <c r="T102" s="26"/>
      <c r="U102" s="26"/>
      <c r="V102" s="26"/>
      <c r="W102" s="26"/>
      <c r="X102" s="26"/>
      <c r="Y102" s="26"/>
      <c r="Z102" s="26"/>
      <c r="AA102" s="26"/>
      <c r="AB102" s="26"/>
    </row>
    <row r="103">
      <c r="A103" s="34"/>
      <c r="B103" s="35"/>
      <c r="C103" s="30"/>
      <c r="D103" s="30"/>
      <c r="E103" s="30"/>
      <c r="F103" s="30"/>
      <c r="G103" s="30"/>
      <c r="H103" s="31"/>
      <c r="I103" s="30"/>
      <c r="J103" s="32"/>
      <c r="K103" s="32"/>
      <c r="L103" s="47"/>
      <c r="M103" s="26"/>
      <c r="N103" s="26"/>
      <c r="O103" s="26"/>
      <c r="P103" s="26"/>
      <c r="Q103" s="26"/>
      <c r="R103" s="26"/>
      <c r="S103" s="26"/>
      <c r="T103" s="26"/>
      <c r="U103" s="26"/>
      <c r="V103" s="26"/>
      <c r="W103" s="26"/>
      <c r="X103" s="26"/>
      <c r="Y103" s="26"/>
      <c r="Z103" s="26"/>
      <c r="AA103" s="26"/>
      <c r="AB103" s="26"/>
    </row>
    <row r="104">
      <c r="A104" s="34"/>
      <c r="B104" s="35"/>
      <c r="C104" s="30"/>
      <c r="D104" s="30"/>
      <c r="E104" s="30"/>
      <c r="F104" s="30"/>
      <c r="G104" s="30"/>
      <c r="H104" s="31"/>
      <c r="I104" s="30"/>
      <c r="J104" s="32"/>
      <c r="K104" s="32"/>
      <c r="L104" s="47"/>
      <c r="M104" s="26"/>
      <c r="N104" s="26"/>
      <c r="O104" s="26"/>
      <c r="P104" s="26"/>
      <c r="Q104" s="26"/>
      <c r="R104" s="26"/>
      <c r="S104" s="26"/>
      <c r="T104" s="26"/>
      <c r="U104" s="26"/>
      <c r="V104" s="26"/>
      <c r="W104" s="26"/>
      <c r="X104" s="26"/>
      <c r="Y104" s="26"/>
      <c r="Z104" s="26"/>
      <c r="AA104" s="26"/>
      <c r="AB104" s="26"/>
    </row>
    <row r="105">
      <c r="A105" s="34"/>
      <c r="B105" s="35"/>
      <c r="C105" s="30"/>
      <c r="D105" s="30"/>
      <c r="E105" s="30"/>
      <c r="F105" s="30"/>
      <c r="G105" s="30"/>
      <c r="H105" s="31"/>
      <c r="I105" s="30"/>
      <c r="J105" s="32"/>
      <c r="K105" s="32"/>
      <c r="L105" s="47"/>
      <c r="M105" s="26"/>
      <c r="N105" s="26"/>
      <c r="O105" s="26"/>
      <c r="P105" s="26"/>
      <c r="Q105" s="26"/>
      <c r="R105" s="26"/>
      <c r="S105" s="26"/>
      <c r="T105" s="26"/>
      <c r="U105" s="26"/>
      <c r="V105" s="26"/>
      <c r="W105" s="26"/>
      <c r="X105" s="26"/>
      <c r="Y105" s="26"/>
      <c r="Z105" s="26"/>
      <c r="AA105" s="26"/>
      <c r="AB105" s="26"/>
    </row>
    <row r="106">
      <c r="A106" s="34"/>
      <c r="B106" s="35"/>
      <c r="C106" s="30"/>
      <c r="D106" s="30"/>
      <c r="E106" s="30"/>
      <c r="F106" s="30"/>
      <c r="G106" s="30"/>
      <c r="H106" s="31"/>
      <c r="I106" s="30"/>
      <c r="J106" s="32"/>
      <c r="K106" s="32"/>
      <c r="L106" s="47"/>
      <c r="M106" s="26"/>
      <c r="N106" s="26"/>
      <c r="O106" s="26"/>
      <c r="P106" s="26"/>
      <c r="Q106" s="26"/>
      <c r="R106" s="26"/>
      <c r="S106" s="26"/>
      <c r="T106" s="26"/>
      <c r="U106" s="26"/>
      <c r="V106" s="26"/>
      <c r="W106" s="26"/>
      <c r="X106" s="26"/>
      <c r="Y106" s="26"/>
      <c r="Z106" s="26"/>
      <c r="AA106" s="26"/>
      <c r="AB106" s="26"/>
    </row>
    <row r="107">
      <c r="A107" s="34"/>
      <c r="B107" s="35"/>
      <c r="C107" s="30"/>
      <c r="D107" s="30"/>
      <c r="E107" s="30"/>
      <c r="F107" s="30"/>
      <c r="G107" s="30"/>
      <c r="H107" s="31"/>
      <c r="I107" s="30"/>
      <c r="J107" s="32"/>
      <c r="K107" s="32"/>
      <c r="L107" s="47"/>
      <c r="M107" s="26"/>
      <c r="N107" s="26"/>
      <c r="O107" s="26"/>
      <c r="P107" s="26"/>
      <c r="Q107" s="26"/>
      <c r="R107" s="26"/>
      <c r="S107" s="26"/>
      <c r="T107" s="26"/>
      <c r="U107" s="26"/>
      <c r="V107" s="26"/>
      <c r="W107" s="26"/>
      <c r="X107" s="26"/>
      <c r="Y107" s="26"/>
      <c r="Z107" s="26"/>
      <c r="AA107" s="26"/>
      <c r="AB107" s="26"/>
    </row>
    <row r="108">
      <c r="A108" s="34"/>
      <c r="B108" s="35"/>
      <c r="C108" s="30"/>
      <c r="D108" s="30"/>
      <c r="E108" s="30"/>
      <c r="F108" s="30"/>
      <c r="G108" s="30"/>
      <c r="H108" s="31"/>
      <c r="I108" s="30"/>
      <c r="J108" s="32"/>
      <c r="K108" s="32"/>
      <c r="L108" s="47"/>
      <c r="M108" s="26"/>
      <c r="N108" s="26"/>
      <c r="O108" s="26"/>
      <c r="P108" s="26"/>
      <c r="Q108" s="26"/>
      <c r="R108" s="26"/>
      <c r="S108" s="26"/>
      <c r="T108" s="26"/>
      <c r="U108" s="26"/>
      <c r="V108" s="26"/>
      <c r="W108" s="26"/>
      <c r="X108" s="26"/>
      <c r="Y108" s="26"/>
      <c r="Z108" s="26"/>
      <c r="AA108" s="26"/>
      <c r="AB108" s="26"/>
    </row>
    <row r="109">
      <c r="A109" s="34"/>
      <c r="B109" s="35"/>
      <c r="C109" s="30"/>
      <c r="D109" s="30"/>
      <c r="E109" s="30"/>
      <c r="F109" s="30"/>
      <c r="G109" s="30"/>
      <c r="H109" s="31"/>
      <c r="I109" s="30"/>
      <c r="J109" s="32"/>
      <c r="K109" s="32"/>
      <c r="L109" s="47"/>
      <c r="M109" s="26"/>
      <c r="N109" s="26"/>
      <c r="O109" s="26"/>
      <c r="P109" s="26"/>
      <c r="Q109" s="26"/>
      <c r="R109" s="26"/>
      <c r="S109" s="26"/>
      <c r="T109" s="26"/>
      <c r="U109" s="26"/>
      <c r="V109" s="26"/>
      <c r="W109" s="26"/>
      <c r="X109" s="26"/>
      <c r="Y109" s="26"/>
      <c r="Z109" s="26"/>
      <c r="AA109" s="26"/>
      <c r="AB109" s="26"/>
    </row>
    <row r="110">
      <c r="A110" s="34"/>
      <c r="B110" s="35"/>
      <c r="C110" s="30"/>
      <c r="D110" s="30"/>
      <c r="E110" s="30"/>
      <c r="F110" s="30"/>
      <c r="G110" s="30"/>
      <c r="H110" s="31"/>
      <c r="I110" s="30"/>
      <c r="J110" s="32"/>
      <c r="K110" s="32"/>
      <c r="L110" s="47"/>
      <c r="M110" s="26"/>
      <c r="N110" s="26"/>
      <c r="O110" s="26"/>
      <c r="P110" s="26"/>
      <c r="Q110" s="26"/>
      <c r="R110" s="26"/>
      <c r="S110" s="26"/>
      <c r="T110" s="26"/>
      <c r="U110" s="26"/>
      <c r="V110" s="26"/>
      <c r="W110" s="26"/>
      <c r="X110" s="26"/>
      <c r="Y110" s="26"/>
      <c r="Z110" s="26"/>
      <c r="AA110" s="26"/>
      <c r="AB110" s="26"/>
    </row>
    <row r="111">
      <c r="A111" s="34"/>
      <c r="B111" s="35"/>
      <c r="C111" s="30"/>
      <c r="D111" s="30"/>
      <c r="E111" s="30"/>
      <c r="F111" s="30"/>
      <c r="G111" s="30"/>
      <c r="H111" s="31"/>
      <c r="I111" s="30"/>
      <c r="J111" s="32"/>
      <c r="K111" s="32"/>
      <c r="L111" s="47"/>
      <c r="M111" s="26"/>
      <c r="N111" s="26"/>
      <c r="O111" s="26"/>
      <c r="P111" s="26"/>
      <c r="Q111" s="26"/>
      <c r="R111" s="26"/>
      <c r="S111" s="26"/>
      <c r="T111" s="26"/>
      <c r="U111" s="26"/>
      <c r="V111" s="26"/>
      <c r="W111" s="26"/>
      <c r="X111" s="26"/>
      <c r="Y111" s="26"/>
      <c r="Z111" s="26"/>
      <c r="AA111" s="26"/>
      <c r="AB111" s="26"/>
    </row>
    <row r="112">
      <c r="A112" s="34"/>
      <c r="B112" s="35"/>
      <c r="C112" s="30"/>
      <c r="D112" s="30"/>
      <c r="E112" s="30"/>
      <c r="F112" s="30"/>
      <c r="G112" s="30"/>
      <c r="H112" s="31"/>
      <c r="I112" s="30"/>
      <c r="J112" s="32"/>
      <c r="K112" s="32"/>
      <c r="L112" s="47"/>
      <c r="M112" s="26"/>
      <c r="N112" s="26"/>
      <c r="O112" s="26"/>
      <c r="P112" s="26"/>
      <c r="Q112" s="26"/>
      <c r="R112" s="26"/>
      <c r="S112" s="26"/>
      <c r="T112" s="26"/>
      <c r="U112" s="26"/>
      <c r="V112" s="26"/>
      <c r="W112" s="26"/>
      <c r="X112" s="26"/>
      <c r="Y112" s="26"/>
      <c r="Z112" s="26"/>
      <c r="AA112" s="26"/>
      <c r="AB112" s="26"/>
    </row>
    <row r="113">
      <c r="A113" s="34"/>
      <c r="B113" s="35"/>
      <c r="C113" s="30"/>
      <c r="D113" s="30"/>
      <c r="E113" s="30"/>
      <c r="F113" s="30"/>
      <c r="G113" s="30"/>
      <c r="H113" s="31"/>
      <c r="I113" s="30"/>
      <c r="J113" s="32"/>
      <c r="K113" s="32"/>
      <c r="L113" s="47"/>
      <c r="M113" s="26"/>
      <c r="N113" s="26"/>
      <c r="O113" s="26"/>
      <c r="P113" s="26"/>
      <c r="Q113" s="26"/>
      <c r="R113" s="26"/>
      <c r="S113" s="26"/>
      <c r="T113" s="26"/>
      <c r="U113" s="26"/>
      <c r="V113" s="26"/>
      <c r="W113" s="26"/>
      <c r="X113" s="26"/>
      <c r="Y113" s="26"/>
      <c r="Z113" s="26"/>
      <c r="AA113" s="26"/>
      <c r="AB113" s="26"/>
    </row>
    <row r="114">
      <c r="A114" s="34"/>
      <c r="B114" s="35"/>
      <c r="C114" s="30"/>
      <c r="D114" s="30"/>
      <c r="E114" s="30"/>
      <c r="F114" s="30"/>
      <c r="G114" s="30"/>
      <c r="H114" s="31"/>
      <c r="I114" s="30"/>
      <c r="J114" s="32"/>
      <c r="K114" s="32"/>
      <c r="L114" s="47"/>
      <c r="M114" s="26"/>
      <c r="N114" s="26"/>
      <c r="O114" s="26"/>
      <c r="P114" s="26"/>
      <c r="Q114" s="26"/>
      <c r="R114" s="26"/>
      <c r="S114" s="26"/>
      <c r="T114" s="26"/>
      <c r="U114" s="26"/>
      <c r="V114" s="26"/>
      <c r="W114" s="26"/>
      <c r="X114" s="26"/>
      <c r="Y114" s="26"/>
      <c r="Z114" s="26"/>
      <c r="AA114" s="26"/>
      <c r="AB114" s="26"/>
    </row>
    <row r="115">
      <c r="A115" s="34"/>
      <c r="B115" s="35"/>
      <c r="C115" s="30"/>
      <c r="D115" s="30"/>
      <c r="E115" s="30"/>
      <c r="F115" s="30"/>
      <c r="G115" s="30"/>
      <c r="H115" s="31"/>
      <c r="I115" s="30"/>
      <c r="J115" s="32"/>
      <c r="K115" s="32"/>
      <c r="L115" s="47"/>
      <c r="M115" s="26"/>
      <c r="N115" s="26"/>
      <c r="O115" s="26"/>
      <c r="P115" s="26"/>
      <c r="Q115" s="26"/>
      <c r="R115" s="26"/>
      <c r="S115" s="26"/>
      <c r="T115" s="26"/>
      <c r="U115" s="26"/>
      <c r="V115" s="26"/>
      <c r="W115" s="26"/>
      <c r="X115" s="26"/>
      <c r="Y115" s="26"/>
      <c r="Z115" s="26"/>
      <c r="AA115" s="26"/>
      <c r="AB115" s="26"/>
    </row>
    <row r="116">
      <c r="A116" s="34"/>
      <c r="B116" s="35"/>
      <c r="C116" s="30"/>
      <c r="D116" s="30"/>
      <c r="E116" s="30"/>
      <c r="F116" s="30"/>
      <c r="G116" s="30"/>
      <c r="H116" s="31"/>
      <c r="I116" s="30"/>
      <c r="J116" s="32"/>
      <c r="K116" s="32"/>
      <c r="L116" s="47"/>
      <c r="M116" s="26"/>
      <c r="N116" s="26"/>
      <c r="O116" s="26"/>
      <c r="P116" s="26"/>
      <c r="Q116" s="26"/>
      <c r="R116" s="26"/>
      <c r="S116" s="26"/>
      <c r="T116" s="26"/>
      <c r="U116" s="26"/>
      <c r="V116" s="26"/>
      <c r="W116" s="26"/>
      <c r="X116" s="26"/>
      <c r="Y116" s="26"/>
      <c r="Z116" s="26"/>
      <c r="AA116" s="26"/>
      <c r="AB116" s="26"/>
    </row>
    <row r="117">
      <c r="A117" s="34"/>
      <c r="B117" s="35"/>
      <c r="C117" s="30"/>
      <c r="D117" s="30"/>
      <c r="E117" s="30"/>
      <c r="F117" s="30"/>
      <c r="G117" s="30"/>
      <c r="H117" s="31"/>
      <c r="I117" s="30"/>
      <c r="J117" s="32"/>
      <c r="K117" s="32"/>
      <c r="L117" s="47"/>
      <c r="M117" s="26"/>
      <c r="N117" s="26"/>
      <c r="O117" s="26"/>
      <c r="P117" s="26"/>
      <c r="Q117" s="26"/>
      <c r="R117" s="26"/>
      <c r="S117" s="26"/>
      <c r="T117" s="26"/>
      <c r="U117" s="26"/>
      <c r="V117" s="26"/>
      <c r="W117" s="26"/>
      <c r="X117" s="26"/>
      <c r="Y117" s="26"/>
      <c r="Z117" s="26"/>
      <c r="AA117" s="26"/>
      <c r="AB117" s="26"/>
    </row>
    <row r="118">
      <c r="A118" s="34"/>
      <c r="B118" s="35"/>
      <c r="C118" s="30"/>
      <c r="D118" s="30"/>
      <c r="E118" s="30"/>
      <c r="F118" s="30"/>
      <c r="G118" s="30"/>
      <c r="H118" s="31"/>
      <c r="I118" s="30"/>
      <c r="J118" s="32"/>
      <c r="K118" s="32"/>
      <c r="L118" s="47"/>
      <c r="M118" s="26"/>
      <c r="N118" s="26"/>
      <c r="O118" s="26"/>
      <c r="P118" s="26"/>
      <c r="Q118" s="26"/>
      <c r="R118" s="26"/>
      <c r="S118" s="26"/>
      <c r="T118" s="26"/>
      <c r="U118" s="26"/>
      <c r="V118" s="26"/>
      <c r="W118" s="26"/>
      <c r="X118" s="26"/>
      <c r="Y118" s="26"/>
      <c r="Z118" s="26"/>
      <c r="AA118" s="26"/>
      <c r="AB118" s="26"/>
    </row>
    <row r="119">
      <c r="A119" s="34"/>
      <c r="B119" s="35"/>
      <c r="C119" s="30"/>
      <c r="D119" s="30"/>
      <c r="E119" s="30"/>
      <c r="F119" s="30"/>
      <c r="G119" s="30"/>
      <c r="H119" s="31"/>
      <c r="I119" s="30"/>
      <c r="J119" s="32"/>
      <c r="K119" s="32"/>
      <c r="L119" s="47"/>
      <c r="M119" s="26"/>
      <c r="N119" s="26"/>
      <c r="O119" s="26"/>
      <c r="P119" s="26"/>
      <c r="Q119" s="26"/>
      <c r="R119" s="26"/>
      <c r="S119" s="26"/>
      <c r="T119" s="26"/>
      <c r="U119" s="26"/>
      <c r="V119" s="26"/>
      <c r="W119" s="26"/>
      <c r="X119" s="26"/>
      <c r="Y119" s="26"/>
      <c r="Z119" s="26"/>
      <c r="AA119" s="26"/>
      <c r="AB119" s="26"/>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s>
  <sheetData>
    <row r="1">
      <c r="A1" s="1"/>
      <c r="B1" s="2"/>
      <c r="C1" s="1"/>
      <c r="D1" s="40" t="s">
        <v>452</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453</v>
      </c>
      <c r="E4" s="12"/>
      <c r="F4" s="10"/>
      <c r="G4" s="12"/>
      <c r="H4" s="13"/>
      <c r="I4" s="1"/>
      <c r="J4" s="9"/>
      <c r="K4" s="5"/>
      <c r="L4" s="6"/>
      <c r="M4" s="6"/>
      <c r="N4" s="6"/>
      <c r="O4" s="6"/>
      <c r="P4" s="6"/>
      <c r="Q4" s="6"/>
      <c r="R4" s="6"/>
      <c r="S4" s="6"/>
      <c r="T4" s="6"/>
      <c r="U4" s="6"/>
      <c r="V4" s="6"/>
      <c r="W4" s="6"/>
      <c r="X4" s="6"/>
      <c r="Y4" s="6"/>
      <c r="Z4" s="6"/>
      <c r="AA4" s="6"/>
      <c r="AB4" s="6"/>
    </row>
    <row r="5">
      <c r="A5" s="1"/>
      <c r="B5" s="10"/>
      <c r="C5" s="14"/>
      <c r="D5" s="15" t="s">
        <v>6</v>
      </c>
      <c r="E5" s="16"/>
      <c r="F5" s="10"/>
      <c r="G5" s="12"/>
      <c r="H5" s="13"/>
      <c r="I5" s="1"/>
      <c r="J5" s="9" t="s">
        <v>454</v>
      </c>
      <c r="K5" s="5"/>
      <c r="L5" s="6"/>
      <c r="M5" s="6"/>
      <c r="N5" s="6"/>
      <c r="O5" s="6"/>
      <c r="P5" s="6"/>
      <c r="Q5" s="6"/>
      <c r="R5" s="6"/>
      <c r="S5" s="6"/>
      <c r="T5" s="6"/>
      <c r="U5" s="6"/>
      <c r="V5" s="6"/>
      <c r="W5" s="6"/>
      <c r="X5" s="6"/>
      <c r="Y5" s="6"/>
      <c r="Z5" s="6"/>
      <c r="AA5" s="6"/>
      <c r="AB5" s="6"/>
    </row>
    <row r="6">
      <c r="A6" s="1"/>
      <c r="B6" s="10"/>
      <c r="C6" s="10"/>
      <c r="D6" s="10"/>
      <c r="E6" s="12"/>
      <c r="F6" s="10"/>
      <c r="G6" s="12"/>
      <c r="H6" s="13"/>
      <c r="I6" s="1"/>
      <c r="J6" s="9"/>
      <c r="K6" s="5"/>
      <c r="L6" s="6"/>
      <c r="M6" s="6"/>
      <c r="N6" s="6"/>
      <c r="O6" s="6"/>
      <c r="P6" s="6"/>
      <c r="Q6" s="6"/>
      <c r="R6" s="6"/>
      <c r="S6" s="6"/>
      <c r="T6" s="6"/>
      <c r="U6" s="6"/>
      <c r="V6" s="6"/>
      <c r="W6" s="6"/>
      <c r="X6" s="6"/>
      <c r="Y6" s="6"/>
      <c r="Z6" s="6"/>
      <c r="AA6" s="6"/>
      <c r="AB6" s="6"/>
    </row>
    <row r="7">
      <c r="A7" s="17"/>
      <c r="B7" s="18"/>
      <c r="C7" s="18"/>
      <c r="D7" s="18"/>
      <c r="E7" s="18"/>
      <c r="F7" s="18"/>
      <c r="G7" s="18"/>
      <c r="H7" s="18"/>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41" t="s">
        <v>19</v>
      </c>
      <c r="M8" s="20"/>
      <c r="N8" s="20"/>
      <c r="O8" s="20"/>
      <c r="P8" s="20"/>
      <c r="Q8" s="20"/>
      <c r="R8" s="20"/>
      <c r="S8" s="20"/>
      <c r="T8" s="20"/>
      <c r="U8" s="20"/>
      <c r="V8" s="20"/>
      <c r="W8" s="20"/>
      <c r="X8" s="20"/>
      <c r="Y8" s="20"/>
      <c r="Z8" s="20"/>
      <c r="AA8" s="20"/>
      <c r="AB8" s="20"/>
    </row>
    <row r="9">
      <c r="A9" s="21" t="s">
        <v>1090</v>
      </c>
      <c r="B9" s="22" t="s">
        <v>1091</v>
      </c>
      <c r="C9" s="23" t="str">
        <f>IFERROR(__xludf.DUMMYFUNCTION("GOOGLETRANSLATE(B9, ""en"", ""fr"")"),"Mêlée")</f>
        <v>Mêlée</v>
      </c>
      <c r="D9" s="23" t="str">
        <f>IFERROR(__xludf.DUMMYFUNCTION("GOOGLETRANSLATE(B9, ""en"", ""es"")"),"Pelea confusa")</f>
        <v>Pelea confusa</v>
      </c>
      <c r="E9" s="23" t="str">
        <f>IFERROR(__xludf.DUMMYFUNCTION("GOOGLETRANSLATE(B9, ""en"", ""ru"")"),"Рукопашным боем")</f>
        <v>Рукопашным боем</v>
      </c>
      <c r="F9" s="23" t="str">
        <f>IFERROR(__xludf.DUMMYFUNCTION("GOOGLETRANSLATE(B9, ""en"", ""tr"")"),"Yakın dövüş")</f>
        <v>Yakın dövüş</v>
      </c>
      <c r="G9" s="23" t="str">
        <f>IFERROR(__xludf.DUMMYFUNCTION("GOOGLETRANSLATE(B9, ""en"", ""pt"")"),"Corpo a corpo")</f>
        <v>Corpo a corpo</v>
      </c>
      <c r="H9" s="24" t="str">
        <f>IFERROR(__xludf.DUMMYFUNCTION("GOOGLETRANSLATE(B9, ""en"", ""de"")"),"Nahkampf")</f>
        <v>Nahkampf</v>
      </c>
      <c r="I9" s="23" t="str">
        <f>IFERROR(__xludf.DUMMYFUNCTION("GOOGLETRANSLATE(B9, ""en"", ""pl"")"),"Bijatyka")</f>
        <v>Bijatyka</v>
      </c>
      <c r="J9" s="25" t="str">
        <f>IFERROR(__xludf.DUMMYFUNCTION("GOOGLETRANSLATE(B9, ""en"", ""zh"")"),"近战")</f>
        <v>近战</v>
      </c>
      <c r="K9" s="25" t="str">
        <f>IFERROR(__xludf.DUMMYFUNCTION("GOOGLETRANSLATE(B9, ""en"", ""vi"")"),"Cận chiến")</f>
        <v>Cận chiến</v>
      </c>
      <c r="L9" s="42" t="str">
        <f>IFERROR(__xludf.DUMMYFUNCTION("GOOGLETRANSLATE(B9, ""en"", ""hr"")"),"Gužva")</f>
        <v>Gužva</v>
      </c>
      <c r="M9" s="26"/>
      <c r="N9" s="26"/>
      <c r="O9" s="26"/>
      <c r="P9" s="26"/>
      <c r="Q9" s="26"/>
      <c r="R9" s="26"/>
      <c r="S9" s="26"/>
      <c r="T9" s="26"/>
      <c r="U9" s="26"/>
      <c r="V9" s="26"/>
      <c r="W9" s="26"/>
      <c r="X9" s="26"/>
      <c r="Y9" s="26"/>
      <c r="Z9" s="26"/>
      <c r="AA9" s="26"/>
      <c r="AB9" s="26"/>
    </row>
    <row r="10">
      <c r="A10" s="21" t="s">
        <v>1092</v>
      </c>
      <c r="B10" s="22" t="s">
        <v>1093</v>
      </c>
      <c r="C10" s="23" t="str">
        <f>IFERROR(__xludf.DUMMYFUNCTION("GOOGLETRANSLATE(B10, ""en"", ""fr"")"),"Votre efficacité avec des armes de mêlée. Réduit la quantité de durabilité des armes de mêlée perd lorsqu'elle est utilisée. Améliorez en utilisant des armes rapprochées telles que les épées, les poignards et les marteaux.")</f>
        <v>Votre efficacité avec des armes de mêlée. Réduit la quantité de durabilité des armes de mêlée perd lorsqu'elle est utilisée. Améliorez en utilisant des armes rapprochées telles que les épées, les poignards et les marteaux.</v>
      </c>
      <c r="D10" s="23" t="str">
        <f>IFERROR(__xludf.DUMMYFUNCTION("GOOGLETRANSLATE(B10, ""en"", ""es"")"),"Tu efectividad con armas cuerpo a cuerpo. Reduce la cantidad de durabilidad que pierden las armas cuerpo a cuerpo cuando se usan. Mejore mediante el uso de armas a corta distancia, como espadas, dagas y martillos.")</f>
        <v>Tu efectividad con armas cuerpo a cuerpo. Reduce la cantidad de durabilidad que pierden las armas cuerpo a cuerpo cuando se usan. Mejore mediante el uso de armas a corta distancia, como espadas, dagas y martillos.</v>
      </c>
      <c r="E10" s="23" t="str">
        <f>IFERROR(__xludf.DUMMYFUNCTION("GOOGLETRANSLATE(B10, ""en"", ""ru"")"),"Ваша эффективность с оружием ближнего боя. Уменьшает, сколько долговечности теряется вооружение ближнего боя при использовании. Улучшите, используя оружие близкого расстояния, такое как мечи, кинжалы и молотки.")</f>
        <v>Ваша эффективность с оружием ближнего боя. Уменьшает, сколько долговечности теряется вооружение ближнего боя при использовании. Улучшите, используя оружие близкого расстояния, такое как мечи, кинжалы и молотки.</v>
      </c>
      <c r="F10" s="23" t="str">
        <f>IFERROR(__xludf.DUMMYFUNCTION("GOOGLETRANSLATE(B10, ""en"", ""tr"")"),"Yakın dövüş silahlarıyla etkinliğiniz. Kullanıldığında dayanıklılık yakın dövüş silahlarının ne kadar kaybettiğini azaltır. Kılıç, hançer ve çekiçler gibi yakın menzilli silahlar kullanarak gelişin.")</f>
        <v>Yakın dövüş silahlarıyla etkinliğiniz. Kullanıldığında dayanıklılık yakın dövüş silahlarının ne kadar kaybettiğini azaltır. Kılıç, hançer ve çekiçler gibi yakın menzilli silahlar kullanarak gelişin.</v>
      </c>
      <c r="G10" s="23" t="str">
        <f>IFERROR(__xludf.DUMMYFUNCTION("GOOGLETRANSLATE(B10, ""en"", ""pt"")"),"Sua eficácia com armas corpo a corpo. Reduz a quantidade de durabilidade que as armas corpo -a -corpo perdem quando usadas. Melhore usando armas de curta distância, como espadas, punhais e martelos.")</f>
        <v>Sua eficácia com armas corpo a corpo. Reduz a quantidade de durabilidade que as armas corpo -a -corpo perdem quando usadas. Melhore usando armas de curta distância, como espadas, punhais e martelos.</v>
      </c>
      <c r="H10" s="24" t="str">
        <f>IFERROR(__xludf.DUMMYFUNCTION("GOOGLETRANSLATE(B10, ""en"", ""de"")"),"Ihre Effektivität mit Nahkampfwaffen. Reduziert, wie viel Haltbarkeit Nahkampfwaffen beim Gebrauch verlieren. Verbessern Sie, indem Sie Waffen wie Schwerter, Dolche und Hämmer aus Nutzungsstrecken verwenden.")</f>
        <v>Ihre Effektivität mit Nahkampfwaffen. Reduziert, wie viel Haltbarkeit Nahkampfwaffen beim Gebrauch verlieren. Verbessern Sie, indem Sie Waffen wie Schwerter, Dolche und Hämmer aus Nutzungsstrecken verwenden.</v>
      </c>
      <c r="I10" s="23" t="str">
        <f>IFERROR(__xludf.DUMMYFUNCTION("GOOGLETRANSLATE(B10, ""en"", ""pl"")"),"Twoja skuteczność z bronią w zwarciu. Zmniejsza, ile tracą broń w zwarciu tracą, gdy jest używana. Popraw przy użyciu broni bliskiej zasięgu, takiej jak miecze, sztylety i młoty.")</f>
        <v>Twoja skuteczność z bronią w zwarciu. Zmniejsza, ile tracą broń w zwarciu tracą, gdy jest używana. Popraw przy użyciu broni bliskiej zasięgu, takiej jak miecze, sztylety i młoty.</v>
      </c>
      <c r="J10" s="25" t="str">
        <f>IFERROR(__xludf.DUMMYFUNCTION("GOOGLETRANSLATE(B10, ""en"", ""zh"")"),"您对近战武器的有效性。减少使用时近战武器损失多少。通过使用近距离武器（例如剑，匕首和锤子）来改进。")</f>
        <v>您对近战武器的有效性。减少使用时近战武器损失多少。通过使用近距离武器（例如剑，匕首和锤子）来改进。</v>
      </c>
      <c r="K10" s="25" t="str">
        <f>IFERROR(__xludf.DUMMYFUNCTION("GOOGLETRANSLATE(B10, ""en"", ""vi"")"),"Hiệu quả của bạn với vũ khí cận chiến. Giảm lượng vũ khí cận chiến có độ bền mất khi sử dụng. Cải thiện bằng cách sử dụng vũ khí tầm gần như kiếm, dao găm và búa.")</f>
        <v>Hiệu quả của bạn với vũ khí cận chiến. Giảm lượng vũ khí cận chiến có độ bền mất khi sử dụng. Cải thiện bằng cách sử dụng vũ khí tầm gần như kiếm, dao găm và búa.</v>
      </c>
      <c r="L10" s="42" t="str">
        <f>IFERROR(__xludf.DUMMYFUNCTION("GOOGLETRANSLATE(B10, ""en"", ""hr"")"),"Vaša učinkovitost s melee oružjem. Smanjuje koliko izdržljivosti melee oružje gubi kada se koristi. Poboljšajte korištenjem oružja iz neposredne raspona, kao što su mačevi, bodeži i čekići.")</f>
        <v>Vaša učinkovitost s melee oružjem. Smanjuje koliko izdržljivosti melee oružje gubi kada se koristi. Poboljšajte korištenjem oružja iz neposredne raspona, kao što su mačevi, bodeži i čekići.</v>
      </c>
      <c r="M10" s="26"/>
      <c r="N10" s="26"/>
      <c r="O10" s="26"/>
      <c r="P10" s="26"/>
      <c r="Q10" s="26"/>
      <c r="R10" s="26"/>
      <c r="S10" s="26"/>
      <c r="T10" s="26"/>
      <c r="U10" s="26"/>
      <c r="V10" s="26"/>
      <c r="W10" s="26"/>
      <c r="X10" s="26"/>
      <c r="Y10" s="26"/>
      <c r="Z10" s="26"/>
      <c r="AA10" s="26"/>
      <c r="AB10" s="26"/>
    </row>
    <row r="11">
      <c r="A11" s="21" t="s">
        <v>1094</v>
      </c>
      <c r="B11" s="22" t="s">
        <v>1095</v>
      </c>
      <c r="C11" s="23" t="str">
        <f>IFERROR(__xludf.DUMMYFUNCTION("GOOGLETRANSLATE(B11, ""en"", ""fr"")"),"À distance")</f>
        <v>À distance</v>
      </c>
      <c r="D11" s="23" t="str">
        <f>IFERROR(__xludf.DUMMYFUNCTION("GOOGLETRANSLATE(B11, ""en"", ""es"")"),"A distancia")</f>
        <v>A distancia</v>
      </c>
      <c r="E11" s="23" t="str">
        <f>IFERROR(__xludf.DUMMYFUNCTION("GOOGLETRANSLATE(B11, ""en"", ""ru"")"),"Дально дать")</f>
        <v>Дально дать</v>
      </c>
      <c r="F11" s="23" t="str">
        <f>IFERROR(__xludf.DUMMYFUNCTION("GOOGLETRANSLATE(B11, ""en"", ""tr"")"),"Menzili")</f>
        <v>Menzili</v>
      </c>
      <c r="G11" s="23" t="str">
        <f>IFERROR(__xludf.DUMMYFUNCTION("GOOGLETRANSLATE(B11, ""en"", ""pt"")"),"A variou")</f>
        <v>A variou</v>
      </c>
      <c r="H11" s="24" t="str">
        <f>IFERROR(__xludf.DUMMYFUNCTION("GOOGLETRANSLATE(B11, ""en"", ""de"")"),"Fernkampf")</f>
        <v>Fernkampf</v>
      </c>
      <c r="I11" s="23" t="str">
        <f>IFERROR(__xludf.DUMMYFUNCTION("GOOGLETRANSLATE(B11, ""en"", ""pl"")"),"Darged")</f>
        <v>Darged</v>
      </c>
      <c r="J11" s="25" t="str">
        <f>IFERROR(__xludf.DUMMYFUNCTION("GOOGLETRANSLATE(B11, ""en"", ""zh"")"),"射程")</f>
        <v>射程</v>
      </c>
      <c r="K11" s="25" t="str">
        <f>IFERROR(__xludf.DUMMYFUNCTION("GOOGLETRANSLATE(B11, ""en"", ""vi"")"),"Khoảng thời gian")</f>
        <v>Khoảng thời gian</v>
      </c>
      <c r="L11" s="42" t="str">
        <f>IFERROR(__xludf.DUMMYFUNCTION("GOOGLETRANSLATE(B11, ""en"", ""hr"")"),"U rasponu")</f>
        <v>U rasponu</v>
      </c>
      <c r="M11" s="26"/>
      <c r="N11" s="26"/>
      <c r="O11" s="26"/>
      <c r="P11" s="26"/>
      <c r="Q11" s="26"/>
      <c r="R11" s="26"/>
      <c r="S11" s="26"/>
      <c r="T11" s="26"/>
      <c r="U11" s="26"/>
      <c r="V11" s="26"/>
      <c r="W11" s="26"/>
      <c r="X11" s="26"/>
      <c r="Y11" s="26"/>
      <c r="Z11" s="26"/>
      <c r="AA11" s="26"/>
      <c r="AB11" s="26"/>
    </row>
    <row r="12">
      <c r="A12" s="21" t="s">
        <v>1096</v>
      </c>
      <c r="B12" s="22" t="s">
        <v>1097</v>
      </c>
      <c r="C12" s="23" t="str">
        <f>IFERROR(__xludf.DUMMYFUNCTION("GOOGLETRANSLATE(B12, ""en"", ""fr"")"),"Votre efficacité avec des armes à distance. Réduit la quantité de durabilité à distance perd des armes lorsqu'elle est utilisée. Améliorez en utilisant des armes à longue portée telles que les arcs et les shurikens.")</f>
        <v>Votre efficacité avec des armes à distance. Réduit la quantité de durabilité à distance perd des armes lorsqu'elle est utilisée. Améliorez en utilisant des armes à longue portée telles que les arcs et les shurikens.</v>
      </c>
      <c r="D12" s="23" t="str">
        <f>IFERROR(__xludf.DUMMYFUNCTION("GOOGLETRANSLATE(B12, ""en"", ""es"")"),"Tu efectividad con armas a distancia. Reduce la cantidad de durabilidad que pierden las armas cuando se usan cuando se usan. Mejore mediante el uso de armas de largo alcance, como arcos y shurikens.")</f>
        <v>Tu efectividad con armas a distancia. Reduce la cantidad de durabilidad que pierden las armas cuando se usan cuando se usan. Mejore mediante el uso de armas de largo alcance, como arcos y shurikens.</v>
      </c>
      <c r="E12" s="23" t="str">
        <f>IFERROR(__xludf.DUMMYFUNCTION("GOOGLETRANSLATE(B12, ""en"", ""ru"")"),"Ваша эффективность с помощью элинозного оружия. Уменьшает, сколько долговечности теряет оружие в диапазоне при использовании. Улучшение с помощью оружия на дальние расстояния, такого как луки и шурикенс.")</f>
        <v>Ваша эффективность с помощью элинозного оружия. Уменьшает, сколько долговечности теряет оружие в диапазоне при использовании. Улучшение с помощью оружия на дальние расстояния, такого как луки и шурикенс.</v>
      </c>
      <c r="F12" s="23" t="str">
        <f>IFERROR(__xludf.DUMMYFUNCTION("GOOGLETRANSLATE(B12, ""en"", ""tr"")"),"Menzilli silahlarla etkinliğiniz. Kullanıldığında ne kadar dayanıklılık aralıklı silahların kaybedildiğini azaltır. Yaylar ve shurikens gibi uzun menzilli silahlar kullanarak geliştirin.")</f>
        <v>Menzilli silahlarla etkinliğiniz. Kullanıldığında ne kadar dayanıklılık aralıklı silahların kaybedildiğini azaltır. Yaylar ve shurikens gibi uzun menzilli silahlar kullanarak geliştirin.</v>
      </c>
      <c r="G12" s="23" t="str">
        <f>IFERROR(__xludf.DUMMYFUNCTION("GOOGLETRANSLATE(B12, ""en"", ""pt"")"),"Sua eficácia com armas de longo alcance. Reduz a quantidade de durabilidade que as armas à distância perdem quando usadas. Melhore usando armas de longo alcance, como arcos e shurikens.")</f>
        <v>Sua eficácia com armas de longo alcance. Reduz a quantidade de durabilidade que as armas à distância perdem quando usadas. Melhore usando armas de longo alcance, como arcos e shurikens.</v>
      </c>
      <c r="H12" s="24" t="str">
        <f>IFERROR(__xludf.DUMMYFUNCTION("GOOGLETRANSLATE(B12, ""en"", ""de"")"),"Ihre Effektivität mit Fernkampfwaffen. Reduziert, wie viel Dauerhaftigkeit, bei der Fernkampfwaffen beim Gebrauch verlieren. Verbessern Sie, indem Sie Waffen wie Bögen und Shurikens verwenden.")</f>
        <v>Ihre Effektivität mit Fernkampfwaffen. Reduziert, wie viel Dauerhaftigkeit, bei der Fernkampfwaffen beim Gebrauch verlieren. Verbessern Sie, indem Sie Waffen wie Bögen und Shurikens verwenden.</v>
      </c>
      <c r="I12" s="23" t="str">
        <f>IFERROR(__xludf.DUMMYFUNCTION("GOOGLETRANSLATE(B12, ""en"", ""pl"")"),"Twoja skuteczność z bronią dystansową. Zmniejsza, ile tracą broń dystansową tracą, gdy jest używana. Popraw poprzez użycie broni dalekiego zasięgu, takiej jak łuki i shurikens.")</f>
        <v>Twoja skuteczność z bronią dystansową. Zmniejsza, ile tracą broń dystansową tracą, gdy jest używana. Popraw poprzez użycie broni dalekiego zasięgu, takiej jak łuki i shurikens.</v>
      </c>
      <c r="J12" s="25" t="str">
        <f>IFERROR(__xludf.DUMMYFUNCTION("GOOGLETRANSLATE(B12, ""en"", ""zh"")"),"您对远程武器的有效性。降低使用时耐用武器损失了多少。通过使用蝴蝶结和Shurikens等远程武器来改进。")</f>
        <v>您对远程武器的有效性。降低使用时耐用武器损失了多少。通过使用蝴蝶结和Shurikens等远程武器来改进。</v>
      </c>
      <c r="K12" s="25" t="str">
        <f>IFERROR(__xludf.DUMMYFUNCTION("GOOGLETRANSLATE(B12, ""en"", ""vi"")"),"Hiệu quả của bạn với vũ khí tầm xa. Giảm lượng vũ khí phạm vi độ bền mất khi sử dụng. Cải thiện bằng cách sử dụng vũ khí tầm xa như cung tên và shurikens.")</f>
        <v>Hiệu quả của bạn với vũ khí tầm xa. Giảm lượng vũ khí phạm vi độ bền mất khi sử dụng. Cải thiện bằng cách sử dụng vũ khí tầm xa như cung tên và shurikens.</v>
      </c>
      <c r="L12" s="42" t="str">
        <f>IFERROR(__xludf.DUMMYFUNCTION("GOOGLETRANSLATE(B12, ""en"", ""hr"")"),"Vaša učinkovitost s rasponom oružja. Smanjuje koliko je oružja u rasponu izdržljivosti gubitak kada se koristi. Poboljšajte korištenjem oružja dugog dometa kao što su lukovi i shurikens.")</f>
        <v>Vaša učinkovitost s rasponom oružja. Smanjuje koliko je oružja u rasponu izdržljivosti gubitak kada se koristi. Poboljšajte korištenjem oružja dugog dometa kao što su lukovi i shurikens.</v>
      </c>
      <c r="M12" s="26"/>
      <c r="N12" s="26"/>
      <c r="O12" s="26"/>
      <c r="P12" s="26"/>
      <c r="Q12" s="26"/>
      <c r="R12" s="26"/>
      <c r="S12" s="26"/>
      <c r="T12" s="26"/>
      <c r="U12" s="26"/>
      <c r="V12" s="26"/>
      <c r="W12" s="26"/>
      <c r="X12" s="26"/>
      <c r="Y12" s="26"/>
      <c r="Z12" s="26"/>
      <c r="AA12" s="26"/>
      <c r="AB12" s="26"/>
    </row>
    <row r="13">
      <c r="A13" s="21" t="s">
        <v>1098</v>
      </c>
      <c r="B13" s="22" t="s">
        <v>1099</v>
      </c>
      <c r="C13" s="23" t="str">
        <f>IFERROR(__xludf.DUMMYFUNCTION("GOOGLETRANSLATE(B13, ""en"", ""fr"")"),"la magie")</f>
        <v>la magie</v>
      </c>
      <c r="D13" s="23" t="str">
        <f>IFERROR(__xludf.DUMMYFUNCTION("GOOGLETRANSLATE(B13, ""en"", ""es"")"),"magia")</f>
        <v>magia</v>
      </c>
      <c r="E13" s="23" t="str">
        <f>IFERROR(__xludf.DUMMYFUNCTION("GOOGLETRANSLATE(B13, ""en"", ""ru"")"),"Магия")</f>
        <v>Магия</v>
      </c>
      <c r="F13" s="23" t="str">
        <f>IFERROR(__xludf.DUMMYFUNCTION("GOOGLETRANSLATE(B13, ""en"", ""tr"")"),"Büyü")</f>
        <v>Büyü</v>
      </c>
      <c r="G13" s="23" t="str">
        <f>IFERROR(__xludf.DUMMYFUNCTION("GOOGLETRANSLATE(B13, ""en"", ""pt"")"),"Magia")</f>
        <v>Magia</v>
      </c>
      <c r="H13" s="24" t="str">
        <f>IFERROR(__xludf.DUMMYFUNCTION("GOOGLETRANSLATE(B13, ""en"", ""de"")"),"Magie")</f>
        <v>Magie</v>
      </c>
      <c r="I13" s="23" t="str">
        <f>IFERROR(__xludf.DUMMYFUNCTION("GOOGLETRANSLATE(B13, ""en"", ""pl"")"),"magia")</f>
        <v>magia</v>
      </c>
      <c r="J13" s="25" t="str">
        <f>IFERROR(__xludf.DUMMYFUNCTION("GOOGLETRANSLATE(B13, ""en"", ""zh"")"),"魔法")</f>
        <v>魔法</v>
      </c>
      <c r="K13" s="25" t="str">
        <f>IFERROR(__xludf.DUMMYFUNCTION("GOOGLETRANSLATE(B13, ""en"", ""vi"")"),"Ảo thuật")</f>
        <v>Ảo thuật</v>
      </c>
      <c r="L13" s="42" t="str">
        <f>IFERROR(__xludf.DUMMYFUNCTION("GOOGLETRANSLATE(B13, ""en"", ""hr"")"),"magija")</f>
        <v>magija</v>
      </c>
      <c r="M13" s="26"/>
      <c r="N13" s="26"/>
      <c r="O13" s="26"/>
      <c r="P13" s="26"/>
      <c r="Q13" s="26"/>
      <c r="R13" s="26"/>
      <c r="S13" s="26"/>
      <c r="T13" s="26"/>
      <c r="U13" s="26"/>
      <c r="V13" s="26"/>
      <c r="W13" s="26"/>
      <c r="X13" s="26"/>
      <c r="Y13" s="26"/>
      <c r="Z13" s="26"/>
      <c r="AA13" s="26"/>
      <c r="AB13" s="26"/>
    </row>
    <row r="14">
      <c r="A14" s="21" t="s">
        <v>1100</v>
      </c>
      <c r="B14" s="22" t="s">
        <v>1101</v>
      </c>
      <c r="C14" s="23" t="str">
        <f>IFERROR(__xludf.DUMMYFUNCTION("GOOGLETRANSLATE(B14, ""en"", ""fr"")"),"Votre efficacité avec les armes magiques. Réduit la perte d'armes magiques de la durabilité lorsqu'elle est utilisée. Améliorez en utilisant des éléments magiques tels que le personnel et les livres de sorts.")</f>
        <v>Votre efficacité avec les armes magiques. Réduit la perte d'armes magiques de la durabilité lorsqu'elle est utilisée. Améliorez en utilisant des éléments magiques tels que le personnel et les livres de sorts.</v>
      </c>
      <c r="D14" s="23" t="str">
        <f>IFERROR(__xludf.DUMMYFUNCTION("GOOGLETRANSLATE(B14, ""en"", ""es"")"),"Tu efectividad con armas mágicas. Reduce la cantidad de durabilidad que pierden las armas mágicas cuando se usan. Mejore mediante el uso de artículos mágicos como personal y libros de hechizos.")</f>
        <v>Tu efectividad con armas mágicas. Reduce la cantidad de durabilidad que pierden las armas mágicas cuando se usan. Mejore mediante el uso de artículos mágicos como personal y libros de hechizos.</v>
      </c>
      <c r="E14" s="23" t="str">
        <f>IFERROR(__xludf.DUMMYFUNCTION("GOOGLETRANSLATE(B14, ""en"", ""ru"")"),"Ваша эффективность с волшебным оружием. Уменьшает, сколько долговечности теряется во время использования. Улучшение, используя магические предметы, такие как персонал и книги по заклинаниям.")</f>
        <v>Ваша эффективность с волшебным оружием. Уменьшает, сколько долговечности теряется во время использования. Улучшение, используя магические предметы, такие как персонал и книги по заклинаниям.</v>
      </c>
      <c r="F14" s="23" t="str">
        <f>IFERROR(__xludf.DUMMYFUNCTION("GOOGLETRANSLATE(B14, ""en"", ""tr"")"),"Sihirli silahlarla etkinliğiniz. Sihirli silahların kullanıldığında ne kadar dayanıklılığını azaltır. Personel ve büyü kitapları gibi büyülü eşyalar kullanarak geliştirin.")</f>
        <v>Sihirli silahlarla etkinliğiniz. Sihirli silahların kullanıldığında ne kadar dayanıklılığını azaltır. Personel ve büyü kitapları gibi büyülü eşyalar kullanarak geliştirin.</v>
      </c>
      <c r="G14" s="23" t="str">
        <f>IFERROR(__xludf.DUMMYFUNCTION("GOOGLETRANSLATE(B14, ""en"", ""pt"")"),"Sua eficácia com armas mágicas. Reduz a quantidade de armas mágicas de durabilidade perder quando usadas. Melhore usando itens mágicos, como equipes e livros de feitiços.")</f>
        <v>Sua eficácia com armas mágicas. Reduz a quantidade de armas mágicas de durabilidade perder quando usadas. Melhore usando itens mágicos, como equipes e livros de feitiços.</v>
      </c>
      <c r="H14" s="24" t="str">
        <f>IFERROR(__xludf.DUMMYFUNCTION("GOOGLETRANSLATE(B14, ""en"", ""de"")"),"Ihre Effektivität mit magischen Waffen. Reduziert, wie viel Haltbarkeit magische Waffen beim Gebrauch verlieren. Verbessern Sie, indem Sie magische Gegenstände wie Mitarbeiter und Zauberbücher verwenden.")</f>
        <v>Ihre Effektivität mit magischen Waffen. Reduziert, wie viel Haltbarkeit magische Waffen beim Gebrauch verlieren. Verbessern Sie, indem Sie magische Gegenstände wie Mitarbeiter und Zauberbücher verwenden.</v>
      </c>
      <c r="I14" s="23" t="str">
        <f>IFERROR(__xludf.DUMMYFUNCTION("GOOGLETRANSLATE(B14, ""en"", ""pl"")"),"Twoja skuteczność z magiczną bronią. Zmniejsza, ile tracą magiczną broń, gdy jest używana. Popraw przy użyciu magicznych przedmiotów, takich jak personel i księgi zaklęć.")</f>
        <v>Twoja skuteczność z magiczną bronią. Zmniejsza, ile tracą magiczną broń, gdy jest używana. Popraw przy użyciu magicznych przedmiotów, takich jak personel i księgi zaklęć.</v>
      </c>
      <c r="J14" s="25" t="str">
        <f>IFERROR(__xludf.DUMMYFUNCTION("GOOGLETRANSLATE(B14, ""en"", ""zh"")"),"您对魔术武器的有效性。降低使用时魔术武器损失了多少耐用性。通过使用魔法物品（例如员工和拼写书籍）来改进。")</f>
        <v>您对魔术武器的有效性。降低使用时魔术武器损失了多少耐用性。通过使用魔法物品（例如员工和拼写书籍）来改进。</v>
      </c>
      <c r="K14" s="25" t="str">
        <f>IFERROR(__xludf.DUMMYFUNCTION("GOOGLETRANSLATE(B14, ""en"", ""vi"")"),"Hiệu quả của bạn với vũ khí ma thuật. Giảm số lượng vũ khí ma thuật độ bền mất khi sử dụng. Cải thiện bằng cách sử dụng các vật phẩm ma thuật như nhân viên và sách chính tả.")</f>
        <v>Hiệu quả của bạn với vũ khí ma thuật. Giảm số lượng vũ khí ma thuật độ bền mất khi sử dụng. Cải thiện bằng cách sử dụng các vật phẩm ma thuật như nhân viên và sách chính tả.</v>
      </c>
      <c r="L14" s="42" t="str">
        <f>IFERROR(__xludf.DUMMYFUNCTION("GOOGLETRANSLATE(B14, ""en"", ""hr"")"),"Vaša učinkovitost s čarobnim oružjem. Smanjuje koliko je čarobno oružje izdržljivosti gubitak kada se koristi. Poboljšajte korištenjem čarobnih predmeta kao što su osoblje i knjige pravopisa.")</f>
        <v>Vaša učinkovitost s čarobnim oružjem. Smanjuje koliko je čarobno oružje izdržljivosti gubitak kada se koristi. Poboljšajte korištenjem čarobnih predmeta kao što su osoblje i knjige pravopisa.</v>
      </c>
      <c r="M14" s="26"/>
      <c r="N14" s="26"/>
      <c r="O14" s="26"/>
      <c r="P14" s="26"/>
      <c r="Q14" s="26"/>
      <c r="R14" s="26"/>
      <c r="S14" s="26"/>
      <c r="T14" s="26"/>
      <c r="U14" s="26"/>
      <c r="V14" s="26"/>
      <c r="W14" s="26"/>
      <c r="X14" s="26"/>
      <c r="Y14" s="26"/>
      <c r="Z14" s="26"/>
      <c r="AA14" s="26"/>
      <c r="AB14" s="26"/>
    </row>
    <row r="15">
      <c r="A15" s="21" t="s">
        <v>1102</v>
      </c>
      <c r="B15" s="22" t="s">
        <v>258</v>
      </c>
      <c r="C15" s="23" t="str">
        <f>IFERROR(__xludf.DUMMYFUNCTION("GOOGLETRANSLATE(B15, ""en"", ""fr"")"),"La cueillette")</f>
        <v>La cueillette</v>
      </c>
      <c r="D15" s="23" t="str">
        <f>IFERROR(__xludf.DUMMYFUNCTION("GOOGLETRANSLATE(B15, ""en"", ""es"")"),"Reunión")</f>
        <v>Reunión</v>
      </c>
      <c r="E15" s="23" t="str">
        <f>IFERROR(__xludf.DUMMYFUNCTION("GOOGLETRANSLATE(B15, ""en"", ""ru"")"),"Встреча")</f>
        <v>Встреча</v>
      </c>
      <c r="F15" s="23" t="str">
        <f>IFERROR(__xludf.DUMMYFUNCTION("GOOGLETRANSLATE(B15, ""en"", ""tr"")"),"Toplama")</f>
        <v>Toplama</v>
      </c>
      <c r="G15" s="23" t="str">
        <f>IFERROR(__xludf.DUMMYFUNCTION("GOOGLETRANSLATE(B15, ""en"", ""pt"")"),"Reunião")</f>
        <v>Reunião</v>
      </c>
      <c r="H15" s="24" t="str">
        <f>IFERROR(__xludf.DUMMYFUNCTION("GOOGLETRANSLATE(B15, ""en"", ""de"")"),"Sammeln")</f>
        <v>Sammeln</v>
      </c>
      <c r="I15" s="23" t="str">
        <f>IFERROR(__xludf.DUMMYFUNCTION("GOOGLETRANSLATE(B15, ""en"", ""pl"")"),"Zgromadzenie")</f>
        <v>Zgromadzenie</v>
      </c>
      <c r="J15" s="25" t="str">
        <f>IFERROR(__xludf.DUMMYFUNCTION("GOOGLETRANSLATE(B15, ""en"", ""zh"")"),"搜集")</f>
        <v>搜集</v>
      </c>
      <c r="K15" s="25" t="str">
        <f>IFERROR(__xludf.DUMMYFUNCTION("GOOGLETRANSLATE(B15, ""en"", ""vi"")"),"Thu thập")</f>
        <v>Thu thập</v>
      </c>
      <c r="L15" s="42" t="str">
        <f>IFERROR(__xludf.DUMMYFUNCTION("GOOGLETRANSLATE(B15, ""en"", ""hr"")"),"Prikupljanje")</f>
        <v>Prikupljanje</v>
      </c>
      <c r="M15" s="26"/>
      <c r="N15" s="26"/>
      <c r="O15" s="26"/>
      <c r="P15" s="26"/>
      <c r="Q15" s="26"/>
      <c r="R15" s="26"/>
      <c r="S15" s="26"/>
      <c r="T15" s="26"/>
      <c r="U15" s="26"/>
      <c r="V15" s="26"/>
      <c r="W15" s="26"/>
      <c r="X15" s="26"/>
      <c r="Y15" s="26"/>
      <c r="Z15" s="26"/>
      <c r="AA15" s="26"/>
      <c r="AB15" s="26"/>
    </row>
    <row r="16">
      <c r="A16" s="21" t="s">
        <v>1103</v>
      </c>
      <c r="B16" s="22" t="s">
        <v>1104</v>
      </c>
      <c r="C16" s="23" t="str">
        <f>IFERROR(__xludf.DUMMYFUNCTION("GOOGLETRANSLATE(B16, ""en"", ""fr"")"),"Votre efficacité avec des outils de rassemblement. Combien d'outils de collecte de durabilité perdent lorsqu'ils sont utilisés. Améliorez en utilisant des haches, des piqûres et des faucilles.")</f>
        <v>Votre efficacité avec des outils de rassemblement. Combien d'outils de collecte de durabilité perdent lorsqu'ils sont utilisés. Améliorez en utilisant des haches, des piqûres et des faucilles.</v>
      </c>
      <c r="D16" s="23" t="str">
        <f>IFERROR(__xludf.DUMMYFUNCTION("GOOGLETRANSLATE(B16, ""en"", ""es"")"),"Su efectividad con herramientas de recopilación. Cuánto pierden las herramientas de recolección de durabilidad cuando se usan. Mejore mediante el uso de hachas, pickaxes y hoces.")</f>
        <v>Su efectividad con herramientas de recopilación. Cuánto pierden las herramientas de recolección de durabilidad cuando se usan. Mejore mediante el uso de hachas, pickaxes y hoces.</v>
      </c>
      <c r="E16" s="23" t="str">
        <f>IFERROR(__xludf.DUMMYFUNCTION("GOOGLETRANSLATE(B16, ""en"", ""ru"")"),"Ваша эффективность с помощью инструментов сбора. Сколько средств для сбора долговечности теряется при использовании. Улучшение, используя топоры, пики и серпы.")</f>
        <v>Ваша эффективность с помощью инструментов сбора. Сколько средств для сбора долговечности теряется при использовании. Улучшение, используя топоры, пики и серпы.</v>
      </c>
      <c r="F16" s="23" t="str">
        <f>IFERROR(__xludf.DUMMYFUNCTION("GOOGLETRANSLATE(B16, ""en"", ""tr"")"),"Toplama araçları ile etkinliğiniz. Kullanıldığında ne kadar dayanıklılık toplama araçları kaybeder. Baltalar, kazma ve oraklar kullanarak iyileştirin.")</f>
        <v>Toplama araçları ile etkinliğiniz. Kullanıldığında ne kadar dayanıklılık toplama araçları kaybeder. Baltalar, kazma ve oraklar kullanarak iyileştirin.</v>
      </c>
      <c r="G16" s="23" t="str">
        <f>IFERROR(__xludf.DUMMYFUNCTION("GOOGLETRANSLATE(B16, ""en"", ""pt"")"),"Sua eficácia com ferramentas de coleta. Quanta durabilidade as ferramentas de coleta perdem quando usadas. Melhore usando machadinhos, picaretas e foices.")</f>
        <v>Sua eficácia com ferramentas de coleta. Quanta durabilidade as ferramentas de coleta perdem quando usadas. Melhore usando machadinhos, picaretas e foices.</v>
      </c>
      <c r="H16" s="24" t="str">
        <f>IFERROR(__xludf.DUMMYFUNCTION("GOOGLETRANSLATE(B16, ""en"", ""de"")"),"Ihre Wirksamkeit beim Sammeln von Werkzeugen. Wie viel Haltbarkeitssammlungswerkzeuge verlieren bei der Verwendung. Verbessern Sie durch die Verwendung von Hatchets, Spitzhahn und Sicheln.")</f>
        <v>Ihre Wirksamkeit beim Sammeln von Werkzeugen. Wie viel Haltbarkeitssammlungswerkzeuge verlieren bei der Verwendung. Verbessern Sie durch die Verwendung von Hatchets, Spitzhahn und Sicheln.</v>
      </c>
      <c r="I16" s="23" t="str">
        <f>IFERROR(__xludf.DUMMYFUNCTION("GOOGLETRANSLATE(B16, ""en"", ""pl"")"),"Twoja skuteczność z narzędziami do gromadzenia. Ile narzędzi do zbierania trwałości tracą po użyciu. Popraw poprzez użycie toporów, pickaksów i sierpów.")</f>
        <v>Twoja skuteczność z narzędziami do gromadzenia. Ile narzędzi do zbierania trwałości tracą po użyciu. Popraw poprzez użycie toporów, pickaksów i sierpów.</v>
      </c>
      <c r="J16" s="25" t="str">
        <f>IFERROR(__xludf.DUMMYFUNCTION("GOOGLETRANSLATE(B16, ""en"", ""zh"")"),"您通过收集工具的有效性。使用时收集多少耐用性工具会损失。通过使用斧头，拾音器和镰刀来改进。")</f>
        <v>您通过收集工具的有效性。使用时收集多少耐用性工具会损失。通过使用斧头，拾音器和镰刀来改进。</v>
      </c>
      <c r="K16" s="25" t="str">
        <f>IFERROR(__xludf.DUMMYFUNCTION("GOOGLETRANSLATE(B16, ""en"", ""vi"")"),"Hiệu quả của bạn với các công cụ thu thập. Bao nhiêu công cụ thu thập độ bền mất khi sử dụng. Cải thiện bằng cách sử dụng rìu, pickaxes và liềm.")</f>
        <v>Hiệu quả của bạn với các công cụ thu thập. Bao nhiêu công cụ thu thập độ bền mất khi sử dụng. Cải thiện bằng cách sử dụng rìu, pickaxes và liềm.</v>
      </c>
      <c r="L16" s="42" t="str">
        <f>IFERROR(__xludf.DUMMYFUNCTION("GOOGLETRANSLATE(B16, ""en"", ""hr"")"),"Vaša učinkovitost s alatima za prikupljanje. Koliko alata za prikupljanje izdržljivosti gubi kada se koriste. Poboljšajte se pomoću sjenica, pike i srpa.")</f>
        <v>Vaša učinkovitost s alatima za prikupljanje. Koliko alata za prikupljanje izdržljivosti gubi kada se koriste. Poboljšajte se pomoću sjenica, pike i srpa.</v>
      </c>
      <c r="M16" s="26"/>
      <c r="N16" s="26"/>
      <c r="O16" s="26"/>
      <c r="P16" s="26"/>
      <c r="Q16" s="26"/>
      <c r="R16" s="26"/>
      <c r="S16" s="26"/>
      <c r="T16" s="26"/>
      <c r="U16" s="26"/>
      <c r="V16" s="26"/>
      <c r="W16" s="26"/>
      <c r="X16" s="26"/>
      <c r="Y16" s="26"/>
      <c r="Z16" s="26"/>
      <c r="AA16" s="26"/>
      <c r="AB16" s="26"/>
    </row>
    <row r="17">
      <c r="A17" s="21" t="s">
        <v>1105</v>
      </c>
      <c r="B17" s="22" t="s">
        <v>1106</v>
      </c>
      <c r="C17" s="23" t="str">
        <f>IFERROR(__xludf.DUMMYFUNCTION("GOOGLETRANSLATE(B17, ""en"", ""fr"")"),"Armes")</f>
        <v>Armes</v>
      </c>
      <c r="D17" s="23" t="str">
        <f>IFERROR(__xludf.DUMMYFUNCTION("GOOGLETRANSLATE(B17, ""en"", ""es"")"),"Arsenal")</f>
        <v>Arsenal</v>
      </c>
      <c r="E17" s="23" t="str">
        <f>IFERROR(__xludf.DUMMYFUNCTION("GOOGLETRANSLATE(B17, ""en"", ""ru"")"),"Оружие")</f>
        <v>Оружие</v>
      </c>
      <c r="F17" s="23" t="str">
        <f>IFERROR(__xludf.DUMMYFUNCTION("GOOGLETRANSLATE(B17, ""en"", ""tr"")"),"Silah")</f>
        <v>Silah</v>
      </c>
      <c r="G17" s="23" t="str">
        <f>IFERROR(__xludf.DUMMYFUNCTION("GOOGLETRANSLATE(B17, ""en"", ""pt"")"),"Armas")</f>
        <v>Armas</v>
      </c>
      <c r="H17" s="24" t="str">
        <f>IFERROR(__xludf.DUMMYFUNCTION("GOOGLETRANSLATE(B17, ""en"", ""de"")"),"Waffen")</f>
        <v>Waffen</v>
      </c>
      <c r="I17" s="23" t="str">
        <f>IFERROR(__xludf.DUMMYFUNCTION("GOOGLETRANSLATE(B17, ""en"", ""pl"")"),"Uzbrojenie")</f>
        <v>Uzbrojenie</v>
      </c>
      <c r="J17" s="25" t="str">
        <f>IFERROR(__xludf.DUMMYFUNCTION("GOOGLETRANSLATE(B17, ""en"", ""zh"")"),"武器")</f>
        <v>武器</v>
      </c>
      <c r="K17" s="25" t="str">
        <f>IFERROR(__xludf.DUMMYFUNCTION("GOOGLETRANSLATE(B17, ""en"", ""vi"")"),"Vũ khí")</f>
        <v>Vũ khí</v>
      </c>
      <c r="L17" s="42" t="str">
        <f>IFERROR(__xludf.DUMMYFUNCTION("GOOGLETRANSLATE(B17, ""en"", ""hr"")"),"Oružje")</f>
        <v>Oružje</v>
      </c>
      <c r="M17" s="26"/>
      <c r="N17" s="26"/>
      <c r="O17" s="26"/>
      <c r="P17" s="26"/>
      <c r="Q17" s="26"/>
      <c r="R17" s="26"/>
      <c r="S17" s="26"/>
      <c r="T17" s="26"/>
      <c r="U17" s="26"/>
      <c r="V17" s="26"/>
      <c r="W17" s="26"/>
      <c r="X17" s="26"/>
      <c r="Y17" s="26"/>
      <c r="Z17" s="26"/>
      <c r="AA17" s="26"/>
      <c r="AB17" s="26"/>
    </row>
    <row r="18">
      <c r="A18" s="28" t="s">
        <v>1107</v>
      </c>
      <c r="B18" s="22" t="s">
        <v>1108</v>
      </c>
      <c r="C18" s="23" t="str">
        <f>IFERROR(__xludf.DUMMYFUNCTION("GOOGLETRANSLATE(B18, ""en"", ""fr"")"),"Combien de durabilité les armes que vous artisanat ont. Améliorer en fabriquant des articles dommageables, tels que les épées, les arcs et le personnel.")</f>
        <v>Combien de durabilité les armes que vous artisanat ont. Améliorer en fabriquant des articles dommageables, tels que les épées, les arcs et le personnel.</v>
      </c>
      <c r="D18" s="23" t="str">
        <f>IFERROR(__xludf.DUMMYFUNCTION("GOOGLETRANSLATE(B18, ""en"", ""es"")"),"Cuánta durabilidad tienen las armas que elaboras tienen. Mejore elaborando artículos dañinos, como espadas, arcos y personal.")</f>
        <v>Cuánta durabilidad tienen las armas que elaboras tienen. Mejore elaborando artículos dañinos, como espadas, arcos y personal.</v>
      </c>
      <c r="E18" s="23" t="str">
        <f>IFERROR(__xludf.DUMMYFUNCTION("GOOGLETRANSLATE(B18, ""en"", ""ru"")"),"Сколько долговечности у вас есть оружия. Улучшение путем создания поврежденных предметов, таких как мечи, луки и персонал.")</f>
        <v>Сколько долговечности у вас есть оружия. Улучшение путем создания поврежденных предметов, таких как мечи, луки и персонал.</v>
      </c>
      <c r="F18" s="23" t="str">
        <f>IFERROR(__xludf.DUMMYFUNCTION("GOOGLETRANSLATE(B18, ""en"", ""tr"")"),"Yaptığınız silahların ne kadar dayanıklılığı var. Kılıçlar, yaylar ve personel gibi zarar veren eşyalar hazırlayarak iyileştirin.")</f>
        <v>Yaptığınız silahların ne kadar dayanıklılığı var. Kılıçlar, yaylar ve personel gibi zarar veren eşyalar hazırlayarak iyileştirin.</v>
      </c>
      <c r="G18" s="23" t="str">
        <f>IFERROR(__xludf.DUMMYFUNCTION("GOOGLETRANSLATE(B18, ""en"", ""pt"")"),"Quanta durabilidade as armas que você cria. Melhore a criação de itens prejudiciais, como espadas, arcos e equipes.")</f>
        <v>Quanta durabilidade as armas que você cria. Melhore a criação de itens prejudiciais, como espadas, arcos e equipes.</v>
      </c>
      <c r="H18" s="24" t="str">
        <f>IFERROR(__xludf.DUMMYFUNCTION("GOOGLETRANSLATE(B18, ""en"", ""de"")"),"Wie viel Haltbarkeit die Waffen, die Sie erstellen. Verbessern Sie, indem Sie schädliche Gegenstände wie Schwerter, Bögen und Mitarbeiter herstellen.")</f>
        <v>Wie viel Haltbarkeit die Waffen, die Sie erstellen. Verbessern Sie, indem Sie schädliche Gegenstände wie Schwerter, Bögen und Mitarbeiter herstellen.</v>
      </c>
      <c r="I18" s="23" t="str">
        <f>IFERROR(__xludf.DUMMYFUNCTION("GOOGLETRANSLATE(B18, ""en"", ""pl"")"),"Ile trwałości ma broń, którą tworzysz. Popraw poprzez tworzenie szkodliwych przedmiotów, takich jak miecze, łuki i personel.")</f>
        <v>Ile trwałości ma broń, którą tworzysz. Popraw poprzez tworzenie szkodliwych przedmiotów, takich jak miecze, łuki i personel.</v>
      </c>
      <c r="J18" s="25" t="str">
        <f>IFERROR(__xludf.DUMMYFUNCTION("GOOGLETRANSLATE(B18, ""en"", ""zh"")"),"您制造的武器有多少耐用性。通过制作损坏物品（例如剑，弓和工作人员）来改进。")</f>
        <v>您制造的武器有多少耐用性。通过制作损坏物品（例如剑，弓和工作人员）来改进。</v>
      </c>
      <c r="K18" s="25" t="str">
        <f>IFERROR(__xludf.DUMMYFUNCTION("GOOGLETRANSLATE(B18, ""en"", ""vi"")"),"Bao nhiêu độ bền của vũ khí mà bạn chế tạo. Cải thiện bằng cách chế tạo các vật phẩm gây hại, chẳng hạn như kiếm, cung và nhân viên.")</f>
        <v>Bao nhiêu độ bền của vũ khí mà bạn chế tạo. Cải thiện bằng cách chế tạo các vật phẩm gây hại, chẳng hạn như kiếm, cung và nhân viên.</v>
      </c>
      <c r="L18" s="42" t="str">
        <f>IFERROR(__xludf.DUMMYFUNCTION("GOOGLETRANSLATE(B18, ""en"", ""hr"")"),"Koliko izdržljivosti oružje koje imate. Poboljšajte izradom štetnih predmeta, poput mačeva, lukova i osoblja.")</f>
        <v>Koliko izdržljivosti oružje koje imate. Poboljšajte izradom štetnih predmeta, poput mačeva, lukova i osoblja.</v>
      </c>
      <c r="M18" s="26"/>
      <c r="N18" s="26"/>
      <c r="O18" s="26"/>
      <c r="P18" s="26"/>
      <c r="Q18" s="26"/>
      <c r="R18" s="26"/>
      <c r="S18" s="26"/>
      <c r="T18" s="26"/>
      <c r="U18" s="26"/>
      <c r="V18" s="26"/>
      <c r="W18" s="26"/>
      <c r="X18" s="26"/>
      <c r="Y18" s="26"/>
      <c r="Z18" s="26"/>
      <c r="AA18" s="26"/>
      <c r="AB18" s="26"/>
    </row>
    <row r="19">
      <c r="A19" s="21" t="s">
        <v>1109</v>
      </c>
      <c r="B19" s="22" t="s">
        <v>1110</v>
      </c>
      <c r="C19" s="23" t="str">
        <f>IFERROR(__xludf.DUMMYFUNCTION("GOOGLETRANSLATE(B19, ""en"", ""fr"")"),"Arsenal")</f>
        <v>Arsenal</v>
      </c>
      <c r="D19" s="23" t="str">
        <f>IFERROR(__xludf.DUMMYFUNCTION("GOOGLETRANSLATE(B19, ""en"", ""es"")"),"Arsenal")</f>
        <v>Arsenal</v>
      </c>
      <c r="E19" s="23" t="str">
        <f>IFERROR(__xludf.DUMMYFUNCTION("GOOGLETRANSLATE(B19, ""en"", ""ru"")"),"Оружейный")</f>
        <v>Оружейный</v>
      </c>
      <c r="F19" s="23" t="str">
        <f>IFERROR(__xludf.DUMMYFUNCTION("GOOGLETRANSLATE(B19, ""en"", ""tr"")"),"Topçu")</f>
        <v>Topçu</v>
      </c>
      <c r="G19" s="23" t="str">
        <f>IFERROR(__xludf.DUMMYFUNCTION("GOOGLETRANSLATE(B19, ""en"", ""pt"")"),"Arsenal")</f>
        <v>Arsenal</v>
      </c>
      <c r="H19" s="24" t="str">
        <f>IFERROR(__xludf.DUMMYFUNCTION("GOOGLETRANSLATE(B19, ""en"", ""de"")"),"Waffenkammer")</f>
        <v>Waffenkammer</v>
      </c>
      <c r="I19" s="23" t="str">
        <f>IFERROR(__xludf.DUMMYFUNCTION("GOOGLETRANSLATE(B19, ""en"", ""pl"")"),"Zbrojownia")</f>
        <v>Zbrojownia</v>
      </c>
      <c r="J19" s="25" t="str">
        <f>IFERROR(__xludf.DUMMYFUNCTION("GOOGLETRANSLATE(B19, ""en"", ""zh"")"),"军械库")</f>
        <v>军械库</v>
      </c>
      <c r="K19" s="25" t="str">
        <f>IFERROR(__xludf.DUMMYFUNCTION("GOOGLETRANSLATE(B19, ""en"", ""vi"")"),"Vũ khí")</f>
        <v>Vũ khí</v>
      </c>
      <c r="L19" s="42" t="str">
        <f>IFERROR(__xludf.DUMMYFUNCTION("GOOGLETRANSLATE(B19, ""en"", ""hr"")"),"Oružarnica")</f>
        <v>Oružarnica</v>
      </c>
      <c r="M19" s="26"/>
      <c r="N19" s="26"/>
      <c r="O19" s="26"/>
      <c r="P19" s="26"/>
      <c r="Q19" s="26"/>
      <c r="R19" s="26"/>
      <c r="S19" s="26"/>
      <c r="T19" s="26"/>
      <c r="U19" s="26"/>
      <c r="V19" s="26"/>
      <c r="W19" s="26"/>
      <c r="X19" s="26"/>
      <c r="Y19" s="26"/>
      <c r="Z19" s="26"/>
      <c r="AA19" s="26"/>
      <c r="AB19" s="26"/>
    </row>
    <row r="20">
      <c r="A20" s="28" t="s">
        <v>1111</v>
      </c>
      <c r="B20" s="22" t="s">
        <v>1112</v>
      </c>
      <c r="C20" s="23" t="str">
        <f>IFERROR(__xludf.DUMMYFUNCTION("GOOGLETRANSLATE(B20, ""en"", ""fr"")"),"Combien de durabilité les armures et les vêtements que vous artisanat ont. Amélioré en fabriquant des articles portables, tels que l'armure, les capes et les robes.")</f>
        <v>Combien de durabilité les armures et les vêtements que vous artisanat ont. Amélioré en fabriquant des articles portables, tels que l'armure, les capes et les robes.</v>
      </c>
      <c r="D20" s="23" t="str">
        <f>IFERROR(__xludf.DUMMYFUNCTION("GOOGLETRANSLATE(B20, ""en"", ""es"")"),"Cuánta durabilidad tienen los armores y la ropa que elaboras tienen. Mejoró elaborando artículos portátiles, como armadura, capas y túnicas.")</f>
        <v>Cuánta durabilidad tienen los armores y la ropa que elaboras tienen. Mejoró elaborando artículos portátiles, como armadura, capas y túnicas.</v>
      </c>
      <c r="E20" s="23" t="str">
        <f>IFERROR(__xludf.DUMMYFUNCTION("GOOGLETRANSLATE(B20, ""en"", ""ru"")"),"Сколько долговечности у вас есть брони и одежда. Улучшены за счет создания носимых предметов, таких как броня, плащ и одежды.")</f>
        <v>Сколько долговечности у вас есть брони и одежда. Улучшены за счет создания носимых предметов, таких как броня, плащ и одежды.</v>
      </c>
      <c r="F20" s="23" t="str">
        <f>IFERROR(__xludf.DUMMYFUNCTION("GOOGLETRANSLATE(B20, ""en"", ""tr"")"),"Zırhın ve kıyafetlerin ne kadar dayanıklılığı var. Zırh, pelerinler ve cüppeler gibi giyilebilir eşyaların hazırlanmasıyla geliştirildi.")</f>
        <v>Zırhın ve kıyafetlerin ne kadar dayanıklılığı var. Zırh, pelerinler ve cüppeler gibi giyilebilir eşyaların hazırlanmasıyla geliştirildi.</v>
      </c>
      <c r="G20" s="23" t="str">
        <f>IFERROR(__xludf.DUMMYFUNCTION("GOOGLETRANSLATE(B20, ""en"", ""pt"")"),"Quanta durabilidade as armaduras e roupas que você cria. Melhorado criando itens vestíveis, como armadura, capas e vestes.")</f>
        <v>Quanta durabilidade as armaduras e roupas que você cria. Melhorado criando itens vestíveis, como armadura, capas e vestes.</v>
      </c>
      <c r="H20" s="24" t="str">
        <f>IFERROR(__xludf.DUMMYFUNCTION("GOOGLETRANSLATE(B20, ""en"", ""de"")"),"Wie viel Haltbarkeit die Rüstungen und Kleidung, die Sie erstellen. Verbessert durch das Herstellen tragbarer Gegenstände wie Rüstung, Umhänge und Gewänder.")</f>
        <v>Wie viel Haltbarkeit die Rüstungen und Kleidung, die Sie erstellen. Verbessert durch das Herstellen tragbarer Gegenstände wie Rüstung, Umhänge und Gewänder.</v>
      </c>
      <c r="I20" s="23" t="str">
        <f>IFERROR(__xludf.DUMMYFUNCTION("GOOGLETRANSLATE(B20, ""en"", ""pl"")"),"Ile trwałości ma zbrojownia i ubrania, które tworzysz. Ulepszone przez tworzenie przedmiotów do noszenia, takich jak zbroja, płaszcze i szaty.")</f>
        <v>Ile trwałości ma zbrojownia i ubrania, które tworzysz. Ulepszone przez tworzenie przedmiotów do noszenia, takich jak zbroja, płaszcze i szaty.</v>
      </c>
      <c r="J20" s="25" t="str">
        <f>IFERROR(__xludf.DUMMYFUNCTION("GOOGLETRANSLATE(B20, ""en"", ""zh"")"),"您制作的装甲和衣服有多少耐用性。通过制作可穿戴物品（例如盔甲，披风和长袍）改进。")</f>
        <v>您制作的装甲和衣服有多少耐用性。通过制作可穿戴物品（例如盔甲，披风和长袍）改进。</v>
      </c>
      <c r="K20" s="25" t="str">
        <f>IFERROR(__xludf.DUMMYFUNCTION("GOOGLETRANSLATE(B20, ""en"", ""vi"")"),"Bao nhiêu độ bền của áo giáp và quần áo mà bạn chế tạo. Được cải thiện bằng cách chế tạo các vật dụng có thể đeo, chẳng hạn như áo giáp, áo choàng và áo choàng.")</f>
        <v>Bao nhiêu độ bền của áo giáp và quần áo mà bạn chế tạo. Được cải thiện bằng cách chế tạo các vật dụng có thể đeo, chẳng hạn như áo giáp, áo choàng và áo choàng.</v>
      </c>
      <c r="L20" s="42" t="str">
        <f>IFERROR(__xludf.DUMMYFUNCTION("GOOGLETRANSLATE(B20, ""en"", ""hr"")"),"Koliku izdržljivost oklopnih i odjeće koje izrađujete. Poboljšano izradom nosivih predmeta, poput oklopa, ogrtača i haljina.")</f>
        <v>Koliku izdržljivost oklopnih i odjeće koje izrađujete. Poboljšano izradom nosivih predmeta, poput oklopa, ogrtača i haljina.</v>
      </c>
      <c r="M20" s="26"/>
      <c r="N20" s="26"/>
      <c r="O20" s="26"/>
      <c r="P20" s="26"/>
      <c r="Q20" s="26"/>
      <c r="R20" s="26"/>
      <c r="S20" s="26"/>
      <c r="T20" s="26"/>
      <c r="U20" s="26"/>
      <c r="V20" s="26"/>
      <c r="W20" s="26"/>
      <c r="X20" s="26"/>
      <c r="Y20" s="26"/>
      <c r="Z20" s="26"/>
      <c r="AA20" s="26"/>
      <c r="AB20" s="26"/>
    </row>
    <row r="21">
      <c r="A21" s="21" t="s">
        <v>1113</v>
      </c>
      <c r="B21" s="22" t="s">
        <v>1114</v>
      </c>
      <c r="C21" s="23" t="str">
        <f>IFERROR(__xludf.DUMMYFUNCTION("GOOGLETRANSLATE(B21, ""en"", ""fr"")"),"Outils")</f>
        <v>Outils</v>
      </c>
      <c r="D21" s="23" t="str">
        <f>IFERROR(__xludf.DUMMYFUNCTION("GOOGLETRANSLATE(B21, ""en"", ""es"")"),"Herramienty")</f>
        <v>Herramienty</v>
      </c>
      <c r="E21" s="23" t="str">
        <f>IFERROR(__xludf.DUMMYFUNCTION("GOOGLETRANSLATE(B21, ""en"", ""ru"")"),"Сенюри")</f>
        <v>Сенюри</v>
      </c>
      <c r="F21" s="23" t="str">
        <f>IFERROR(__xludf.DUMMYFUNCTION("GOOGLETRANSLATE(B21, ""en"", ""tr"")"),"Alet")</f>
        <v>Alet</v>
      </c>
      <c r="G21" s="23" t="str">
        <f>IFERROR(__xludf.DUMMYFUNCTION("GOOGLETRANSLATE(B21, ""en"", ""pt"")"),"Ferramenta")</f>
        <v>Ferramenta</v>
      </c>
      <c r="H21" s="24" t="str">
        <f>IFERROR(__xludf.DUMMYFUNCTION("GOOGLETRANSLATE(B21, ""en"", ""de"")"),"Werkzeug")</f>
        <v>Werkzeug</v>
      </c>
      <c r="I21" s="23" t="str">
        <f>IFERROR(__xludf.DUMMYFUNCTION("GOOGLETRANSLATE(B21, ""en"", ""pl"")"),"Toolery")</f>
        <v>Toolery</v>
      </c>
      <c r="J21" s="25" t="str">
        <f>IFERROR(__xludf.DUMMYFUNCTION("GOOGLETRANSLATE(B21, ""en"", ""zh"")"),"工具")</f>
        <v>工具</v>
      </c>
      <c r="K21" s="25" t="str">
        <f>IFERROR(__xludf.DUMMYFUNCTION("GOOGLETRANSLATE(B21, ""en"", ""vi"")"),"Công cụ")</f>
        <v>Công cụ</v>
      </c>
      <c r="L21" s="42" t="str">
        <f>IFERROR(__xludf.DUMMYFUNCTION("GOOGLETRANSLATE(B21, ""en"", ""hr"")"),"Alati")</f>
        <v>Alati</v>
      </c>
      <c r="M21" s="26"/>
      <c r="N21" s="26"/>
      <c r="O21" s="26"/>
      <c r="P21" s="26"/>
      <c r="Q21" s="26"/>
      <c r="R21" s="26"/>
      <c r="S21" s="26"/>
      <c r="T21" s="26"/>
      <c r="U21" s="26"/>
      <c r="V21" s="26"/>
      <c r="W21" s="26"/>
      <c r="X21" s="26"/>
      <c r="Y21" s="26"/>
      <c r="Z21" s="26"/>
      <c r="AA21" s="26"/>
      <c r="AB21" s="26"/>
    </row>
    <row r="22">
      <c r="A22" s="28" t="s">
        <v>1115</v>
      </c>
      <c r="B22" s="22" t="s">
        <v>1116</v>
      </c>
      <c r="C22" s="23" t="str">
        <f>IFERROR(__xludf.DUMMYFUNCTION("GOOGLETRANSLATE(B22, ""en"", ""fr"")"),"Quelle est la durabilité que les articles d'utilité que vous créez. Améliorez en fabriquant des outils et des matériaux, tels que les haches, les piqûres, les serrures, les barres métalliques et les tissus.")</f>
        <v>Quelle est la durabilité que les articles d'utilité que vous créez. Améliorez en fabriquant des outils et des matériaux, tels que les haches, les piqûres, les serrures, les barres métalliques et les tissus.</v>
      </c>
      <c r="D22" s="23" t="str">
        <f>IFERROR(__xludf.DUMMYFUNCTION("GOOGLETRANSLATE(B22, ""en"", ""es"")"),"Cuánta durabilidad tienen los artículos de utilidad que elaboras. Mejore mediante la elaboración de herramientas y materiales, como hachas, pickaxes, cerraduras, barras de metal y telas.")</f>
        <v>Cuánta durabilidad tienen los artículos de utilidad que elaboras. Mejore mediante la elaboración de herramientas y materiales, como hachas, pickaxes, cerraduras, barras de metal y telas.</v>
      </c>
      <c r="E22" s="23" t="str">
        <f>IFERROR(__xludf.DUMMYFUNCTION("GOOGLETRANSLATE(B22, ""en"", ""ru"")"),"Сколько долговечности у вас есть коммунальных предметов. Улучшение, создавая инструменты и материалы, такие как топоры, пики, замки, металлические стержни и ткани.")</f>
        <v>Сколько долговечности у вас есть коммунальных предметов. Улучшение, создавая инструменты и материалы, такие как топоры, пики, замки, металлические стержни и ткани.</v>
      </c>
      <c r="F22" s="23" t="str">
        <f>IFERROR(__xludf.DUMMYFUNCTION("GOOGLETRANSLATE(B22, ""en"", ""tr"")"),"Yarattığınız kamu hizmetlerinin ne kadar dayanıklılığı var. Baltalar, kazıklar, kilitler, metal çubuklar ve kumaşlar gibi alet ve malzemeler hazırlayarak geliştirin.")</f>
        <v>Yarattığınız kamu hizmetlerinin ne kadar dayanıklılığı var. Baltalar, kazıklar, kilitler, metal çubuklar ve kumaşlar gibi alet ve malzemeler hazırlayarak geliştirin.</v>
      </c>
      <c r="G22" s="23" t="str">
        <f>IFERROR(__xludf.DUMMYFUNCTION("GOOGLETRANSLATE(B22, ""en"", ""pt"")"),"Quanta durabilidade os itens de utilidade que você cria. Melhore as ferramentas e materiais de criação, como machados, picaretas, fechaduras, barras de metal e tecidos.")</f>
        <v>Quanta durabilidade os itens de utilidade que você cria. Melhore as ferramentas e materiais de criação, como machados, picaretas, fechaduras, barras de metal e tecidos.</v>
      </c>
      <c r="H22" s="24" t="str">
        <f>IFERROR(__xludf.DUMMYFUNCTION("GOOGLETRANSLATE(B22, ""en"", ""de"")"),"Wie viel Haltbarkeit die von Ihnen hergestellten Nützlichkeitsartikel. Verbesserung durch Handwerkswerkzeuge und -materialien wie Luken, Spitzhöfe, Schlösser, Metallstangen und Stoffe.")</f>
        <v>Wie viel Haltbarkeit die von Ihnen hergestellten Nützlichkeitsartikel. Verbesserung durch Handwerkswerkzeuge und -materialien wie Luken, Spitzhöfe, Schlösser, Metallstangen und Stoffe.</v>
      </c>
      <c r="I22" s="23" t="str">
        <f>IFERROR(__xludf.DUMMYFUNCTION("GOOGLETRANSLATE(B22, ""en"", ""pl"")"),"Ile trwałości masz produkty narzędziowe. Popraw poprzez narzędzia rzemieślnicze i materiały, takie jak siekoty, pickakses, zamki, metalowe pręty i tkaniny.")</f>
        <v>Ile trwałości masz produkty narzędziowe. Popraw poprzez narzędzia rzemieślnicze i materiały, takie jak siekoty, pickakses, zamki, metalowe pręty i tkaniny.</v>
      </c>
      <c r="J22" s="25" t="str">
        <f>IFERROR(__xludf.DUMMYFUNCTION("GOOGLETRANSLATE(B22, ""en"", ""zh"")"),"您制作的公用事业物品有多少耐用性。通过制作工具和材料（例如斧头，拾音器，锁，金属条和面料）改进。")</f>
        <v>您制作的公用事业物品有多少耐用性。通过制作工具和材料（例如斧头，拾音器，锁，金属条和面料）改进。</v>
      </c>
      <c r="K22" s="25" t="str">
        <f>IFERROR(__xludf.DUMMYFUNCTION("GOOGLETRANSLATE(B22, ""en"", ""vi"")"),"Bao nhiêu độ bền Các mặt hàng tiện ích bạn tạo ra. Cải thiện bằng cách chế tạo các công cụ và vật liệu, chẳng hạn như rìu, comickax, khóa, thanh kim loại và vải.")</f>
        <v>Bao nhiêu độ bền Các mặt hàng tiện ích bạn tạo ra. Cải thiện bằng cách chế tạo các công cụ và vật liệu, chẳng hạn như rìu, comickax, khóa, thanh kim loại và vải.</v>
      </c>
      <c r="L22" s="42" t="str">
        <f>IFERROR(__xludf.DUMMYFUNCTION("GOOGLETRANSLATE(B22, ""en"", ""hr"")"),"Koliko izdržljivosti koristi uslužni predmeti koje imate. Poboljšajte izradom alata i materijala, kao što su hatchets, pikavi, brave, metalne šipke i tkanine.")</f>
        <v>Koliko izdržljivosti koristi uslužni predmeti koje imate. Poboljšajte izradom alata i materijala, kao što su hatchets, pikavi, brave, metalne šipke i tkanine.</v>
      </c>
      <c r="M22" s="26"/>
      <c r="N22" s="26"/>
      <c r="O22" s="26"/>
      <c r="P22" s="26"/>
      <c r="Q22" s="26"/>
      <c r="R22" s="26"/>
      <c r="S22" s="26"/>
      <c r="T22" s="26"/>
      <c r="U22" s="26"/>
      <c r="V22" s="26"/>
      <c r="W22" s="26"/>
      <c r="X22" s="26"/>
      <c r="Y22" s="26"/>
      <c r="Z22" s="26"/>
      <c r="AA22" s="26"/>
      <c r="AB22" s="26"/>
    </row>
    <row r="23">
      <c r="A23" s="21" t="s">
        <v>1117</v>
      </c>
      <c r="B23" s="22" t="s">
        <v>1118</v>
      </c>
      <c r="C23" s="23" t="str">
        <f>IFERROR(__xludf.DUMMYFUNCTION("GOOGLETRANSLATE(B23, ""en"", ""fr"")"),"Potionry")</f>
        <v>Potionry</v>
      </c>
      <c r="D23" s="23" t="str">
        <f>IFERROR(__xludf.DUMMYFUNCTION("GOOGLETRANSLATE(B23, ""en"", ""es"")"),"Poción")</f>
        <v>Poción</v>
      </c>
      <c r="E23" s="23" t="str">
        <f>IFERROR(__xludf.DUMMYFUNCTION("GOOGLETRANSLATE(B23, ""en"", ""ru"")"),"Оперирование")</f>
        <v>Оперирование</v>
      </c>
      <c r="F23" s="23" t="str">
        <f>IFERROR(__xludf.DUMMYFUNCTION("GOOGLETRANSLATE(B23, ""en"", ""tr"")"),"İksir")</f>
        <v>İksir</v>
      </c>
      <c r="G23" s="23" t="str">
        <f>IFERROR(__xludf.DUMMYFUNCTION("GOOGLETRANSLATE(B23, ""en"", ""pt"")"),"Potionalidade")</f>
        <v>Potionalidade</v>
      </c>
      <c r="H23" s="24" t="str">
        <f>IFERROR(__xludf.DUMMYFUNCTION("GOOGLETRANSLATE(B23, ""en"", ""de"")"),"Trankerei")</f>
        <v>Trankerei</v>
      </c>
      <c r="I23" s="23" t="str">
        <f>IFERROR(__xludf.DUMMYFUNCTION("GOOGLETRANSLATE(B23, ""en"", ""pl"")"),"Potionia")</f>
        <v>Potionia</v>
      </c>
      <c r="J23" s="25" t="str">
        <f>IFERROR(__xludf.DUMMYFUNCTION("GOOGLETRANSLATE(B23, ""en"", ""zh"")"),"药水")</f>
        <v>药水</v>
      </c>
      <c r="K23" s="25" t="str">
        <f>IFERROR(__xludf.DUMMYFUNCTION("GOOGLETRANSLATE(B23, ""en"", ""vi"")"),"Potionry")</f>
        <v>Potionry</v>
      </c>
      <c r="L23" s="42" t="str">
        <f>IFERROR(__xludf.DUMMYFUNCTION("GOOGLETRANSLATE(B23, ""en"", ""hr"")"),"Napitak")</f>
        <v>Napitak</v>
      </c>
      <c r="M23" s="26"/>
      <c r="N23" s="26"/>
      <c r="O23" s="26"/>
      <c r="P23" s="26"/>
      <c r="Q23" s="26"/>
      <c r="R23" s="26"/>
      <c r="S23" s="26"/>
      <c r="T23" s="26"/>
      <c r="U23" s="26"/>
      <c r="V23" s="26"/>
      <c r="W23" s="26"/>
      <c r="X23" s="26"/>
      <c r="Y23" s="26"/>
      <c r="Z23" s="26"/>
      <c r="AA23" s="26"/>
      <c r="AB23" s="26"/>
    </row>
    <row r="24">
      <c r="A24" s="28" t="s">
        <v>1119</v>
      </c>
      <c r="B24" s="22" t="s">
        <v>1120</v>
      </c>
      <c r="C24" s="23" t="str">
        <f>IFERROR(__xludf.DUMMYFUNCTION("GOOGLETRANSLATE(B24, ""en"", ""fr"")"),"Combien utilise les potions que vous artisanat. S'améliorer en fabriquant des potions et en mangeant des ingrédients de potion.")</f>
        <v>Combien utilise les potions que vous artisanat. S'améliorer en fabriquant des potions et en mangeant des ingrédients de potion.</v>
      </c>
      <c r="D24" s="23" t="str">
        <f>IFERROR(__xludf.DUMMYFUNCTION("GOOGLETRANSLATE(B24, ""en"", ""es"")"),"Cuántos usan las pociones que elaboras tienen. Mejore elaborando pociones y comiendo ingredientes de poción.")</f>
        <v>Cuántos usan las pociones que elaboras tienen. Mejore elaborando pociones y comiendo ingredientes de poción.</v>
      </c>
      <c r="E24" s="23" t="str">
        <f>IFERROR(__xludf.DUMMYFUNCTION("GOOGLETRANSLATE(B24, ""en"", ""ru"")"),"Сколько использует зелья, которые у вас есть. Улучшиться, создавая зелья и употребляя в употреблении ингредиенты зелья.")</f>
        <v>Сколько использует зелья, которые у вас есть. Улучшиться, создавая зелья и употребляя в употреблении ингредиенты зелья.</v>
      </c>
      <c r="F24" s="23" t="str">
        <f>IFERROR(__xludf.DUMMYFUNCTION("GOOGLETRANSLATE(B24, ""en"", ""tr"")"),"Kaç tane ürettiğiniz iksirleri kullanıyor. İksir hazırlayarak ve iksir malzemeleri yiyerek iyileştirin.")</f>
        <v>Kaç tane ürettiğiniz iksirleri kullanıyor. İksir hazırlayarak ve iksir malzemeleri yiyerek iyileştirin.</v>
      </c>
      <c r="G24" s="23" t="str">
        <f>IFERROR(__xludf.DUMMYFUNCTION("GOOGLETRANSLATE(B24, ""en"", ""pt"")"),"Quantos usam as poções que você cria. Melhore a criação de poções e comendo ingredientes da poção.")</f>
        <v>Quantos usam as poções que você cria. Melhore a criação de poções e comendo ingredientes da poção.</v>
      </c>
      <c r="H24" s="24" t="str">
        <f>IFERROR(__xludf.DUMMYFUNCTION("GOOGLETRANSLATE(B24, ""en"", ""de"")"),"Wie viele nutzt die Tränke, die Sie erstellen. Verbesserung durch das Herstellen von Tränken und das Verzehr von Trankzutaten.")</f>
        <v>Wie viele nutzt die Tränke, die Sie erstellen. Verbesserung durch das Herstellen von Tränken und das Verzehr von Trankzutaten.</v>
      </c>
      <c r="I24" s="23" t="str">
        <f>IFERROR(__xludf.DUMMYFUNCTION("GOOGLETRANSLATE(B24, ""en"", ""pl"")"),"Ile używa mikstury, które masz. Popraw poprzez tworzenie mikstur i jedząc składniki mikstur.")</f>
        <v>Ile używa mikstury, które masz. Popraw poprzez tworzenie mikstur i jedząc składniki mikstur.</v>
      </c>
      <c r="J24" s="25" t="str">
        <f>IFERROR(__xludf.DUMMYFUNCTION("GOOGLETRANSLATE(B24, ""en"", ""zh"")"),"您制作的药水使用了多少。通过制作药水和食用药水成分来改进。")</f>
        <v>您制作的药水使用了多少。通过制作药水和食用药水成分来改进。</v>
      </c>
      <c r="K24" s="25" t="str">
        <f>IFERROR(__xludf.DUMMYFUNCTION("GOOGLETRANSLATE(B24, ""en"", ""vi"")"),"Có bao nhiêu người sử dụng các đặc điểm mà bạn tạo ra. Cải thiện bằng cách chế tạo thuốc và ăn các thành phần thuốc.")</f>
        <v>Có bao nhiêu người sử dụng các đặc điểm mà bạn tạo ra. Cải thiện bằng cách chế tạo thuốc và ăn các thành phần thuốc.</v>
      </c>
      <c r="L24" s="42" t="str">
        <f>IFERROR(__xludf.DUMMYFUNCTION("GOOGLETRANSLATE(B24, ""en"", ""hr"")"),"Koliko koristi napitke koje imate. Poboljšajte izradom napitaka i jedenjem sastojaka napitaka.")</f>
        <v>Koliko koristi napitke koje imate. Poboljšajte izradom napitaka i jedenjem sastojaka napitaka.</v>
      </c>
      <c r="M24" s="26"/>
      <c r="N24" s="26"/>
      <c r="O24" s="26"/>
      <c r="P24" s="26"/>
      <c r="Q24" s="26"/>
      <c r="R24" s="26"/>
      <c r="S24" s="26"/>
      <c r="T24" s="26"/>
      <c r="U24" s="26"/>
      <c r="V24" s="26"/>
      <c r="W24" s="26"/>
      <c r="X24" s="26"/>
      <c r="Y24" s="26"/>
      <c r="Z24" s="26"/>
      <c r="AA24" s="26"/>
      <c r="AB24" s="26"/>
    </row>
    <row r="25">
      <c r="A25" s="28" t="s">
        <v>1121</v>
      </c>
      <c r="B25" s="22" t="s">
        <v>1122</v>
      </c>
      <c r="C25" s="23" t="str">
        <f>IFERROR(__xludf.DUMMYFUNCTION("GOOGLETRANSLATE(B25, ""en"", ""fr"")"),"Fléau")</f>
        <v>Fléau</v>
      </c>
      <c r="D25" s="23" t="str">
        <f>IFERROR(__xludf.DUMMYFUNCTION("GOOGLETRANSLATE(B25, ""en"", ""es"")"),"Comunidad")</f>
        <v>Comunidad</v>
      </c>
      <c r="E25" s="23" t="str">
        <f>IFERROR(__xludf.DUMMYFUNCTION("GOOGLETRANSLATE(B25, ""en"", ""ru"")"),"Кланин")</f>
        <v>Кланин</v>
      </c>
      <c r="F25" s="23" t="str">
        <f>IFERROR(__xludf.DUMMYFUNCTION("GOOGLETRANSLATE(B25, ""en"", ""tr"")"),"Klison")</f>
        <v>Klison</v>
      </c>
      <c r="G25" s="23" t="str">
        <f>IFERROR(__xludf.DUMMYFUNCTION("GOOGLETRANSLATE(B25, ""en"", ""pt"")"),"CLANSH")</f>
        <v>CLANSH</v>
      </c>
      <c r="H25" s="24" t="str">
        <f>IFERROR(__xludf.DUMMYFUNCTION("GOOGLETRANSLATE(B25, ""en"", ""de"")"),"Klannschaft")</f>
        <v>Klannschaft</v>
      </c>
      <c r="I25" s="23" t="str">
        <f>IFERROR(__xludf.DUMMYFUNCTION("GOOGLETRANSLATE(B25, ""en"", ""pl"")"),"Klasy")</f>
        <v>Klasy</v>
      </c>
      <c r="J25" s="25" t="str">
        <f>IFERROR(__xludf.DUMMYFUNCTION("GOOGLETRANSLATE(B25, ""en"", ""zh"")"),"氏族")</f>
        <v>氏族</v>
      </c>
      <c r="K25" s="25" t="str">
        <f>IFERROR(__xludf.DUMMYFUNCTION("GOOGLETRANSLATE(B25, ""en"", ""vi"")"),"CLANKINIC")</f>
        <v>CLANKINIC</v>
      </c>
      <c r="L25" s="42" t="str">
        <f>IFERROR(__xludf.DUMMYFUNCTION("GOOGLETRANSLATE(B25, ""en"", ""hr"")"),"Krpstvo")</f>
        <v>Krpstvo</v>
      </c>
      <c r="M25" s="26"/>
      <c r="N25" s="26"/>
      <c r="O25" s="26"/>
      <c r="P25" s="26"/>
      <c r="Q25" s="26"/>
      <c r="R25" s="26"/>
      <c r="S25" s="26"/>
      <c r="T25" s="26"/>
      <c r="U25" s="26"/>
      <c r="V25" s="26"/>
      <c r="W25" s="26"/>
      <c r="X25" s="26"/>
      <c r="Y25" s="26"/>
      <c r="Z25" s="26"/>
      <c r="AA25" s="26"/>
      <c r="AB25" s="26"/>
    </row>
    <row r="26">
      <c r="A26" s="28" t="s">
        <v>1123</v>
      </c>
      <c r="B26" s="22" t="s">
        <v>1124</v>
      </c>
      <c r="C26" s="23" t="str">
        <f>IFERROR(__xludf.DUMMYFUNCTION("GOOGLETRANSLATE(B26, ""en"", ""fr"")"),"Dans quelle mesure vous êtes utile à un clan. Affecte le nombre de points de vie que les structures que vous créez et la quantité de puissance créée lorsque vous donnez de la gloire. Améliorez en fabriquant des structures de base et en puissant les généra"&amp;"teurs.")</f>
        <v>Dans quelle mesure vous êtes utile à un clan. Affecte le nombre de points de vie que les structures que vous créez et la quantité de puissance créée lorsque vous donnez de la gloire. Améliorez en fabriquant des structures de base et en puissant les générateurs.</v>
      </c>
      <c r="D26" s="23" t="str">
        <f>IFERROR(__xludf.DUMMYFUNCTION("GOOGLETRANSLATE(B26, ""en"", ""es"")"),"Qué útil eres para un clan. Afecta cuántos puntos de hits tiene las estructuras que crea y cuánta potencia se crea cuando dona gloria. Mejorar mediante la creación de estructuras base y generando generadores.")</f>
        <v>Qué útil eres para un clan. Afecta cuántos puntos de hits tiene las estructuras que crea y cuánta potencia se crea cuando dona gloria. Mejorar mediante la creación de estructuras base y generando generadores.</v>
      </c>
      <c r="E26" s="23" t="str">
        <f>IFERROR(__xludf.DUMMYFUNCTION("GOOGLETRANSLATE(B26, ""en"", ""ru"")"),"Насколько вы полезны в клане. Влияет на то, сколько точек хит, которые есть у вас структуры, и сколько мощности создается, когда вы пожертвуете славу. Улучшение путем создания базовых структур и питания генераторов.")</f>
        <v>Насколько вы полезны в клане. Влияет на то, сколько точек хит, которые есть у вас структуры, и сколько мощности создается, когда вы пожертвуете славу. Улучшение путем создания базовых структур и питания генераторов.</v>
      </c>
      <c r="F26" s="23" t="str">
        <f>IFERROR(__xludf.DUMMYFUNCTION("GOOGLETRANSLATE(B26, ""en"", ""tr"")"),"Bir klan için ne kadar yararlısınız. Yaptığınız yapıların kaç vuruş noktasını ve zafer bağışladığınızda ne kadar güç yaratıldığını etkiler. Temel yapılar ve güçlendirici jeneratörler hazırlayarak iyileştirin.")</f>
        <v>Bir klan için ne kadar yararlısınız. Yaptığınız yapıların kaç vuruş noktasını ve zafer bağışladığınızda ne kadar güç yaratıldığını etkiler. Temel yapılar ve güçlendirici jeneratörler hazırlayarak iyileştirin.</v>
      </c>
      <c r="G26" s="23" t="str">
        <f>IFERROR(__xludf.DUMMYFUNCTION("GOOGLETRANSLATE(B26, ""en"", ""pt"")"),"Quão útil você é para um clã. Afeta quantos pontos de hits as estruturas você cria e quanta energia é criada quando você doa glória. Melhore a criação de estruturas básicas e geradores de energia.")</f>
        <v>Quão útil você é para um clã. Afeta quantos pontos de hits as estruturas você cria e quanta energia é criada quando você doa glória. Melhore a criação de estruturas básicas e geradores de energia.</v>
      </c>
      <c r="H26" s="24" t="str">
        <f>IFERROR(__xludf.DUMMYFUNCTION("GOOGLETRANSLATE(B26, ""en"", ""de"")"),"Wie hilfreich Sie für einen Clan. Betrifft, wie viele Trefferpunkte die Strukturen, die Sie basteln, und wie viel Strom erzeugt wird, wenn Sie Ruhm spenden. Verbesserung durch das Erstellen von Basisstrukturen und Antrieb von Generatoren.")</f>
        <v>Wie hilfreich Sie für einen Clan. Betrifft, wie viele Trefferpunkte die Strukturen, die Sie basteln, und wie viel Strom erzeugt wird, wenn Sie Ruhm spenden. Verbesserung durch das Erstellen von Basisstrukturen und Antrieb von Generatoren.</v>
      </c>
      <c r="I26" s="23" t="str">
        <f>IFERROR(__xludf.DUMMYFUNCTION("GOOGLETRANSLATE(B26, ""en"", ""pl"")"),"Jak bardzo jesteś pomocny dla klanu. Wpływa na to, ile punktów hitPoint masz struktury, które masz, i ile mocy powstaje podczas przekazywania chwały. Popraw poprzez tworzenie struktur podstawowych i generatorów zasilania.")</f>
        <v>Jak bardzo jesteś pomocny dla klanu. Wpływa na to, ile punktów hitPoint masz struktury, które masz, i ile mocy powstaje podczas przekazywania chwały. Popraw poprzez tworzenie struktur podstawowych i generatorów zasilania.</v>
      </c>
      <c r="J26" s="25" t="str">
        <f>IFERROR(__xludf.DUMMYFUNCTION("GOOGLETRANSLATE(B26, ""en"", ""zh"")"),"您对氏族有多大帮助。影响您制作的结构有多少个命运点，以及捐赠荣耀时创造了多少功率。通过制作基础结构和动力发电机来改进。")</f>
        <v>您对氏族有多大帮助。影响您制作的结构有多少个命运点，以及捐赠荣耀时创造了多少功率。通过制作基础结构和动力发电机来改进。</v>
      </c>
      <c r="K26" s="25" t="str">
        <f>IFERROR(__xludf.DUMMYFUNCTION("GOOGLETRANSLATE(B26, ""en"", ""vi"")"),"Bạn hữu ích như thế nào đối với một gia tộc. Ảnh hưởng đến số lượng điểm hit mà các cấu trúc bạn tạo ra và bao nhiêu năng lượng được tạo ra khi bạn quyên góp vinh quang. Cải thiện bằng cách chế tạo các cấu trúc cơ sở và các máy phát điện.")</f>
        <v>Bạn hữu ích như thế nào đối với một gia tộc. Ảnh hưởng đến số lượng điểm hit mà các cấu trúc bạn tạo ra và bao nhiêu năng lượng được tạo ra khi bạn quyên góp vinh quang. Cải thiện bằng cách chế tạo các cấu trúc cơ sở và các máy phát điện.</v>
      </c>
      <c r="L26" s="42" t="str">
        <f>IFERROR(__xludf.DUMMYFUNCTION("GOOGLETRANSLATE(B26, ""en"", ""hr"")"),"Koliko ste korisni klan. Utječe na to koliko hitpoints strukture koje izrađujete i koliko se energije stvara kada donirate slavu. Poboljšajte izradom baznih struktura i energetskih generatora.")</f>
        <v>Koliko ste korisni klan. Utječe na to koliko hitpoints strukture koje izrađujete i koliko se energije stvara kada donirate slavu. Poboljšajte izradom baznih struktura i energetskih generatora.</v>
      </c>
      <c r="M26" s="26"/>
      <c r="N26" s="26"/>
      <c r="O26" s="26"/>
      <c r="P26" s="26"/>
      <c r="Q26" s="26"/>
      <c r="R26" s="26"/>
      <c r="S26" s="26"/>
      <c r="T26" s="26"/>
      <c r="U26" s="26"/>
      <c r="V26" s="26"/>
      <c r="W26" s="26"/>
      <c r="X26" s="26"/>
      <c r="Y26" s="26"/>
      <c r="Z26" s="26"/>
      <c r="AA26" s="26"/>
      <c r="AB26" s="26"/>
    </row>
    <row r="27">
      <c r="A27" s="34"/>
      <c r="B27" s="35"/>
      <c r="C27" s="30"/>
      <c r="D27" s="30"/>
      <c r="E27" s="30"/>
      <c r="F27" s="30"/>
      <c r="G27" s="30"/>
      <c r="H27" s="31"/>
      <c r="I27" s="30"/>
      <c r="J27" s="32"/>
      <c r="K27" s="32"/>
      <c r="L27" s="47"/>
      <c r="M27" s="26"/>
      <c r="N27" s="26"/>
      <c r="O27" s="26"/>
      <c r="P27" s="26"/>
      <c r="Q27" s="26"/>
      <c r="R27" s="26"/>
      <c r="S27" s="26"/>
      <c r="T27" s="26"/>
      <c r="U27" s="26"/>
      <c r="V27" s="26"/>
      <c r="W27" s="26"/>
      <c r="X27" s="26"/>
      <c r="Y27" s="26"/>
      <c r="Z27" s="26"/>
      <c r="AA27" s="26"/>
      <c r="AB27" s="26"/>
    </row>
    <row r="28">
      <c r="A28" s="34"/>
      <c r="B28" s="35"/>
      <c r="C28" s="30"/>
      <c r="D28" s="30"/>
      <c r="E28" s="30"/>
      <c r="F28" s="30"/>
      <c r="G28" s="30"/>
      <c r="H28" s="31"/>
      <c r="I28" s="30"/>
      <c r="J28" s="32"/>
      <c r="K28" s="32"/>
      <c r="L28" s="47"/>
      <c r="M28" s="26"/>
      <c r="N28" s="26"/>
      <c r="O28" s="26"/>
      <c r="P28" s="26"/>
      <c r="Q28" s="26"/>
      <c r="R28" s="26"/>
      <c r="S28" s="26"/>
      <c r="T28" s="26"/>
      <c r="U28" s="26"/>
      <c r="V28" s="26"/>
      <c r="W28" s="26"/>
      <c r="X28" s="26"/>
      <c r="Y28" s="26"/>
      <c r="Z28" s="26"/>
      <c r="AA28" s="26"/>
      <c r="AB28" s="26"/>
    </row>
    <row r="29">
      <c r="A29" s="34"/>
      <c r="B29" s="35"/>
      <c r="C29" s="30"/>
      <c r="D29" s="30"/>
      <c r="E29" s="30"/>
      <c r="F29" s="30"/>
      <c r="G29" s="30"/>
      <c r="H29" s="31"/>
      <c r="I29" s="30"/>
      <c r="J29" s="32"/>
      <c r="K29" s="32"/>
      <c r="L29" s="47"/>
      <c r="M29" s="26"/>
      <c r="N29" s="26"/>
      <c r="O29" s="26"/>
      <c r="P29" s="26"/>
      <c r="Q29" s="26"/>
      <c r="R29" s="26"/>
      <c r="S29" s="26"/>
      <c r="T29" s="26"/>
      <c r="U29" s="26"/>
      <c r="V29" s="26"/>
      <c r="W29" s="26"/>
      <c r="X29" s="26"/>
      <c r="Y29" s="26"/>
      <c r="Z29" s="26"/>
      <c r="AA29" s="26"/>
      <c r="AB29" s="26"/>
    </row>
    <row r="30">
      <c r="A30" s="34"/>
      <c r="B30" s="35"/>
      <c r="C30" s="30"/>
      <c r="D30" s="30"/>
      <c r="E30" s="30"/>
      <c r="F30" s="30"/>
      <c r="G30" s="30"/>
      <c r="H30" s="31"/>
      <c r="I30" s="30"/>
      <c r="J30" s="32"/>
      <c r="K30" s="32"/>
      <c r="L30" s="47"/>
      <c r="M30" s="26"/>
      <c r="N30" s="26"/>
      <c r="O30" s="26"/>
      <c r="P30" s="26"/>
      <c r="Q30" s="26"/>
      <c r="R30" s="26"/>
      <c r="S30" s="26"/>
      <c r="T30" s="26"/>
      <c r="U30" s="26"/>
      <c r="V30" s="26"/>
      <c r="W30" s="26"/>
      <c r="X30" s="26"/>
      <c r="Y30" s="26"/>
      <c r="Z30" s="26"/>
      <c r="AA30" s="26"/>
      <c r="AB30" s="26"/>
    </row>
    <row r="31">
      <c r="A31" s="34"/>
      <c r="B31" s="35"/>
      <c r="C31" s="30"/>
      <c r="D31" s="30"/>
      <c r="E31" s="30"/>
      <c r="F31" s="30"/>
      <c r="G31" s="30"/>
      <c r="H31" s="31"/>
      <c r="I31" s="30"/>
      <c r="J31" s="32"/>
      <c r="K31" s="32"/>
      <c r="L31" s="47"/>
      <c r="M31" s="26"/>
      <c r="N31" s="26"/>
      <c r="O31" s="26"/>
      <c r="P31" s="26"/>
      <c r="Q31" s="26"/>
      <c r="R31" s="26"/>
      <c r="S31" s="26"/>
      <c r="T31" s="26"/>
      <c r="U31" s="26"/>
      <c r="V31" s="26"/>
      <c r="W31" s="26"/>
      <c r="X31" s="26"/>
      <c r="Y31" s="26"/>
      <c r="Z31" s="26"/>
      <c r="AA31" s="26"/>
      <c r="AB31" s="26"/>
    </row>
    <row r="32">
      <c r="A32" s="34"/>
      <c r="B32" s="35"/>
      <c r="C32" s="30"/>
      <c r="D32" s="30"/>
      <c r="E32" s="30"/>
      <c r="F32" s="30"/>
      <c r="G32" s="30"/>
      <c r="H32" s="31"/>
      <c r="I32" s="30"/>
      <c r="J32" s="32"/>
      <c r="K32" s="32"/>
      <c r="L32" s="47"/>
      <c r="M32" s="26"/>
      <c r="N32" s="26"/>
      <c r="O32" s="26"/>
      <c r="P32" s="26"/>
      <c r="Q32" s="26"/>
      <c r="R32" s="26"/>
      <c r="S32" s="26"/>
      <c r="T32" s="26"/>
      <c r="U32" s="26"/>
      <c r="V32" s="26"/>
      <c r="W32" s="26"/>
      <c r="X32" s="26"/>
      <c r="Y32" s="26"/>
      <c r="Z32" s="26"/>
      <c r="AA32" s="26"/>
      <c r="AB32" s="26"/>
    </row>
    <row r="33">
      <c r="A33" s="34"/>
      <c r="B33" s="35"/>
      <c r="C33" s="30"/>
      <c r="D33" s="30"/>
      <c r="E33" s="30"/>
      <c r="F33" s="30"/>
      <c r="G33" s="30"/>
      <c r="H33" s="31"/>
      <c r="I33" s="30"/>
      <c r="J33" s="32"/>
      <c r="K33" s="32"/>
      <c r="L33" s="47"/>
      <c r="M33" s="26"/>
      <c r="N33" s="26"/>
      <c r="O33" s="26"/>
      <c r="P33" s="26"/>
      <c r="Q33" s="26"/>
      <c r="R33" s="26"/>
      <c r="S33" s="26"/>
      <c r="T33" s="26"/>
      <c r="U33" s="26"/>
      <c r="V33" s="26"/>
      <c r="W33" s="26"/>
      <c r="X33" s="26"/>
      <c r="Y33" s="26"/>
      <c r="Z33" s="26"/>
      <c r="AA33" s="26"/>
      <c r="AB33" s="26"/>
    </row>
    <row r="34">
      <c r="A34" s="34"/>
      <c r="B34" s="35"/>
      <c r="C34" s="30"/>
      <c r="D34" s="30"/>
      <c r="E34" s="30"/>
      <c r="F34" s="30"/>
      <c r="G34" s="30"/>
      <c r="H34" s="31"/>
      <c r="I34" s="30"/>
      <c r="J34" s="32"/>
      <c r="K34" s="32"/>
      <c r="L34" s="47"/>
      <c r="M34" s="26"/>
      <c r="N34" s="26"/>
      <c r="O34" s="26"/>
      <c r="P34" s="26"/>
      <c r="Q34" s="26"/>
      <c r="R34" s="26"/>
      <c r="S34" s="26"/>
      <c r="T34" s="26"/>
      <c r="U34" s="26"/>
      <c r="V34" s="26"/>
      <c r="W34" s="26"/>
      <c r="X34" s="26"/>
      <c r="Y34" s="26"/>
      <c r="Z34" s="26"/>
      <c r="AA34" s="26"/>
      <c r="AB34" s="26"/>
    </row>
    <row r="35">
      <c r="A35" s="34"/>
      <c r="B35" s="35"/>
      <c r="C35" s="30"/>
      <c r="D35" s="30"/>
      <c r="E35" s="30"/>
      <c r="F35" s="30"/>
      <c r="G35" s="30"/>
      <c r="H35" s="31"/>
      <c r="I35" s="30"/>
      <c r="J35" s="32"/>
      <c r="K35" s="32"/>
      <c r="L35" s="47"/>
      <c r="M35" s="26"/>
      <c r="N35" s="26"/>
      <c r="O35" s="26"/>
      <c r="P35" s="26"/>
      <c r="Q35" s="26"/>
      <c r="R35" s="26"/>
      <c r="S35" s="26"/>
      <c r="T35" s="26"/>
      <c r="U35" s="26"/>
      <c r="V35" s="26"/>
      <c r="W35" s="26"/>
      <c r="X35" s="26"/>
      <c r="Y35" s="26"/>
      <c r="Z35" s="26"/>
      <c r="AA35" s="26"/>
      <c r="AB35" s="26"/>
    </row>
    <row r="36">
      <c r="A36" s="34"/>
      <c r="B36" s="35"/>
      <c r="C36" s="30"/>
      <c r="D36" s="30"/>
      <c r="E36" s="30"/>
      <c r="F36" s="30"/>
      <c r="G36" s="30"/>
      <c r="H36" s="31"/>
      <c r="I36" s="30"/>
      <c r="J36" s="32"/>
      <c r="K36" s="32"/>
      <c r="L36" s="47"/>
      <c r="M36" s="26"/>
      <c r="N36" s="26"/>
      <c r="O36" s="26"/>
      <c r="P36" s="26"/>
      <c r="Q36" s="26"/>
      <c r="R36" s="26"/>
      <c r="S36" s="26"/>
      <c r="T36" s="26"/>
      <c r="U36" s="26"/>
      <c r="V36" s="26"/>
      <c r="W36" s="26"/>
      <c r="X36" s="26"/>
      <c r="Y36" s="26"/>
      <c r="Z36" s="26"/>
      <c r="AA36" s="26"/>
      <c r="AB36" s="26"/>
    </row>
    <row r="37">
      <c r="A37" s="34"/>
      <c r="B37" s="35"/>
      <c r="C37" s="30"/>
      <c r="D37" s="30"/>
      <c r="E37" s="30"/>
      <c r="F37" s="30"/>
      <c r="G37" s="30"/>
      <c r="H37" s="31"/>
      <c r="I37" s="30"/>
      <c r="J37" s="32"/>
      <c r="K37" s="32"/>
      <c r="L37" s="47"/>
      <c r="M37" s="26"/>
      <c r="N37" s="26"/>
      <c r="O37" s="26"/>
      <c r="P37" s="26"/>
      <c r="Q37" s="26"/>
      <c r="R37" s="26"/>
      <c r="S37" s="26"/>
      <c r="T37" s="26"/>
      <c r="U37" s="26"/>
      <c r="V37" s="26"/>
      <c r="W37" s="26"/>
      <c r="X37" s="26"/>
      <c r="Y37" s="26"/>
      <c r="Z37" s="26"/>
      <c r="AA37" s="26"/>
      <c r="AB37" s="26"/>
    </row>
    <row r="38">
      <c r="A38" s="34"/>
      <c r="B38" s="35"/>
      <c r="C38" s="30"/>
      <c r="D38" s="30"/>
      <c r="E38" s="30"/>
      <c r="F38" s="30"/>
      <c r="G38" s="30"/>
      <c r="H38" s="31"/>
      <c r="I38" s="30"/>
      <c r="J38" s="32"/>
      <c r="K38" s="32"/>
      <c r="L38" s="47"/>
      <c r="M38" s="26"/>
      <c r="N38" s="26"/>
      <c r="O38" s="26"/>
      <c r="P38" s="26"/>
      <c r="Q38" s="26"/>
      <c r="R38" s="26"/>
      <c r="S38" s="26"/>
      <c r="T38" s="26"/>
      <c r="U38" s="26"/>
      <c r="V38" s="26"/>
      <c r="W38" s="26"/>
      <c r="X38" s="26"/>
      <c r="Y38" s="26"/>
      <c r="Z38" s="26"/>
      <c r="AA38" s="26"/>
      <c r="AB38" s="26"/>
    </row>
    <row r="39">
      <c r="A39" s="34"/>
      <c r="B39" s="35"/>
      <c r="C39" s="30"/>
      <c r="D39" s="30"/>
      <c r="E39" s="30"/>
      <c r="F39" s="30"/>
      <c r="G39" s="30"/>
      <c r="H39" s="31"/>
      <c r="I39" s="30"/>
      <c r="J39" s="32"/>
      <c r="K39" s="32"/>
      <c r="L39" s="47"/>
      <c r="M39" s="26"/>
      <c r="N39" s="26"/>
      <c r="O39" s="26"/>
      <c r="P39" s="26"/>
      <c r="Q39" s="26"/>
      <c r="R39" s="26"/>
      <c r="S39" s="26"/>
      <c r="T39" s="26"/>
      <c r="U39" s="26"/>
      <c r="V39" s="26"/>
      <c r="W39" s="26"/>
      <c r="X39" s="26"/>
      <c r="Y39" s="26"/>
      <c r="Z39" s="26"/>
      <c r="AA39" s="26"/>
      <c r="AB39" s="26"/>
    </row>
    <row r="40">
      <c r="A40" s="34"/>
      <c r="B40" s="35"/>
      <c r="C40" s="30"/>
      <c r="D40" s="30"/>
      <c r="E40" s="30"/>
      <c r="F40" s="30"/>
      <c r="G40" s="30"/>
      <c r="H40" s="31"/>
      <c r="I40" s="30"/>
      <c r="J40" s="32"/>
      <c r="K40" s="32"/>
      <c r="L40" s="47"/>
      <c r="M40" s="26"/>
      <c r="N40" s="26"/>
      <c r="O40" s="26"/>
      <c r="P40" s="26"/>
      <c r="Q40" s="26"/>
      <c r="R40" s="26"/>
      <c r="S40" s="26"/>
      <c r="T40" s="26"/>
      <c r="U40" s="26"/>
      <c r="V40" s="26"/>
      <c r="W40" s="26"/>
      <c r="X40" s="26"/>
      <c r="Y40" s="26"/>
      <c r="Z40" s="26"/>
      <c r="AA40" s="26"/>
      <c r="AB40" s="26"/>
    </row>
    <row r="41">
      <c r="A41" s="34"/>
      <c r="B41" s="35"/>
      <c r="C41" s="30"/>
      <c r="D41" s="30"/>
      <c r="E41" s="30"/>
      <c r="F41" s="30"/>
      <c r="G41" s="30"/>
      <c r="H41" s="31"/>
      <c r="I41" s="30"/>
      <c r="J41" s="32"/>
      <c r="K41" s="32"/>
      <c r="L41" s="47"/>
      <c r="M41" s="26"/>
      <c r="N41" s="26"/>
      <c r="O41" s="26"/>
      <c r="P41" s="26"/>
      <c r="Q41" s="26"/>
      <c r="R41" s="26"/>
      <c r="S41" s="26"/>
      <c r="T41" s="26"/>
      <c r="U41" s="26"/>
      <c r="V41" s="26"/>
      <c r="W41" s="26"/>
      <c r="X41" s="26"/>
      <c r="Y41" s="26"/>
      <c r="Z41" s="26"/>
      <c r="AA41" s="26"/>
      <c r="AB41" s="26"/>
    </row>
    <row r="42">
      <c r="A42" s="34"/>
      <c r="B42" s="35"/>
      <c r="C42" s="30"/>
      <c r="D42" s="30"/>
      <c r="E42" s="30"/>
      <c r="F42" s="30"/>
      <c r="G42" s="30"/>
      <c r="H42" s="31"/>
      <c r="I42" s="30"/>
      <c r="J42" s="32"/>
      <c r="K42" s="32"/>
      <c r="L42" s="47"/>
      <c r="M42" s="26"/>
      <c r="N42" s="26"/>
      <c r="O42" s="26"/>
      <c r="P42" s="26"/>
      <c r="Q42" s="26"/>
      <c r="R42" s="26"/>
      <c r="S42" s="26"/>
      <c r="T42" s="26"/>
      <c r="U42" s="26"/>
      <c r="V42" s="26"/>
      <c r="W42" s="26"/>
      <c r="X42" s="26"/>
      <c r="Y42" s="26"/>
      <c r="Z42" s="26"/>
      <c r="AA42" s="26"/>
      <c r="AB42" s="26"/>
    </row>
    <row r="43">
      <c r="A43" s="34"/>
      <c r="B43" s="35"/>
      <c r="C43" s="30"/>
      <c r="D43" s="30"/>
      <c r="E43" s="30"/>
      <c r="F43" s="30"/>
      <c r="G43" s="30"/>
      <c r="H43" s="31"/>
      <c r="I43" s="30"/>
      <c r="J43" s="32"/>
      <c r="K43" s="32"/>
      <c r="L43" s="47"/>
      <c r="M43" s="26"/>
      <c r="N43" s="26"/>
      <c r="O43" s="26"/>
      <c r="P43" s="26"/>
      <c r="Q43" s="26"/>
      <c r="R43" s="26"/>
      <c r="S43" s="26"/>
      <c r="T43" s="26"/>
      <c r="U43" s="26"/>
      <c r="V43" s="26"/>
      <c r="W43" s="26"/>
      <c r="X43" s="26"/>
      <c r="Y43" s="26"/>
      <c r="Z43" s="26"/>
      <c r="AA43" s="26"/>
      <c r="AB43" s="26"/>
    </row>
    <row r="44">
      <c r="A44" s="34"/>
      <c r="B44" s="35"/>
      <c r="C44" s="30"/>
      <c r="D44" s="30"/>
      <c r="E44" s="30"/>
      <c r="F44" s="30"/>
      <c r="G44" s="30"/>
      <c r="H44" s="31"/>
      <c r="I44" s="30"/>
      <c r="J44" s="32"/>
      <c r="K44" s="32"/>
      <c r="L44" s="47"/>
      <c r="M44" s="26"/>
      <c r="N44" s="26"/>
      <c r="O44" s="26"/>
      <c r="P44" s="26"/>
      <c r="Q44" s="26"/>
      <c r="R44" s="26"/>
      <c r="S44" s="26"/>
      <c r="T44" s="26"/>
      <c r="U44" s="26"/>
      <c r="V44" s="26"/>
      <c r="W44" s="26"/>
      <c r="X44" s="26"/>
      <c r="Y44" s="26"/>
      <c r="Z44" s="26"/>
      <c r="AA44" s="26"/>
      <c r="AB44" s="26"/>
    </row>
    <row r="45">
      <c r="A45" s="34"/>
      <c r="B45" s="35"/>
      <c r="C45" s="30"/>
      <c r="D45" s="30"/>
      <c r="E45" s="30"/>
      <c r="F45" s="30"/>
      <c r="G45" s="30"/>
      <c r="H45" s="31"/>
      <c r="I45" s="30"/>
      <c r="J45" s="32"/>
      <c r="K45" s="32"/>
      <c r="L45" s="47"/>
      <c r="M45" s="26"/>
      <c r="N45" s="26"/>
      <c r="O45" s="26"/>
      <c r="P45" s="26"/>
      <c r="Q45" s="26"/>
      <c r="R45" s="26"/>
      <c r="S45" s="26"/>
      <c r="T45" s="26"/>
      <c r="U45" s="26"/>
      <c r="V45" s="26"/>
      <c r="W45" s="26"/>
      <c r="X45" s="26"/>
      <c r="Y45" s="26"/>
      <c r="Z45" s="26"/>
      <c r="AA45" s="26"/>
      <c r="AB45" s="26"/>
    </row>
    <row r="46">
      <c r="A46" s="34"/>
      <c r="B46" s="35"/>
      <c r="C46" s="30"/>
      <c r="D46" s="30"/>
      <c r="E46" s="30"/>
      <c r="F46" s="30"/>
      <c r="G46" s="30"/>
      <c r="H46" s="31"/>
      <c r="I46" s="30"/>
      <c r="J46" s="32"/>
      <c r="K46" s="32"/>
      <c r="L46" s="47"/>
      <c r="M46" s="26"/>
      <c r="N46" s="26"/>
      <c r="O46" s="26"/>
      <c r="P46" s="26"/>
      <c r="Q46" s="26"/>
      <c r="R46" s="26"/>
      <c r="S46" s="26"/>
      <c r="T46" s="26"/>
      <c r="U46" s="26"/>
      <c r="V46" s="26"/>
      <c r="W46" s="26"/>
      <c r="X46" s="26"/>
      <c r="Y46" s="26"/>
      <c r="Z46" s="26"/>
      <c r="AA46" s="26"/>
      <c r="AB46" s="26"/>
    </row>
    <row r="47">
      <c r="A47" s="34"/>
      <c r="B47" s="35"/>
      <c r="C47" s="30"/>
      <c r="D47" s="30"/>
      <c r="E47" s="30"/>
      <c r="F47" s="30"/>
      <c r="G47" s="30"/>
      <c r="H47" s="31"/>
      <c r="I47" s="30"/>
      <c r="J47" s="32"/>
      <c r="K47" s="32"/>
      <c r="L47" s="47"/>
      <c r="M47" s="26"/>
      <c r="N47" s="26"/>
      <c r="O47" s="26"/>
      <c r="P47" s="26"/>
      <c r="Q47" s="26"/>
      <c r="R47" s="26"/>
      <c r="S47" s="26"/>
      <c r="T47" s="26"/>
      <c r="U47" s="26"/>
      <c r="V47" s="26"/>
      <c r="W47" s="26"/>
      <c r="X47" s="26"/>
      <c r="Y47" s="26"/>
      <c r="Z47" s="26"/>
      <c r="AA47" s="26"/>
      <c r="AB47" s="26"/>
    </row>
    <row r="48">
      <c r="A48" s="34"/>
      <c r="B48" s="35"/>
      <c r="C48" s="30"/>
      <c r="D48" s="30"/>
      <c r="E48" s="30"/>
      <c r="F48" s="30"/>
      <c r="G48" s="30"/>
      <c r="H48" s="31"/>
      <c r="I48" s="30"/>
      <c r="J48" s="32"/>
      <c r="K48" s="32"/>
      <c r="L48" s="47"/>
      <c r="M48" s="26"/>
      <c r="N48" s="26"/>
      <c r="O48" s="26"/>
      <c r="P48" s="26"/>
      <c r="Q48" s="26"/>
      <c r="R48" s="26"/>
      <c r="S48" s="26"/>
      <c r="T48" s="26"/>
      <c r="U48" s="26"/>
      <c r="V48" s="26"/>
      <c r="W48" s="26"/>
      <c r="X48" s="26"/>
      <c r="Y48" s="26"/>
      <c r="Z48" s="26"/>
      <c r="AA48" s="26"/>
      <c r="AB48" s="26"/>
    </row>
    <row r="49">
      <c r="A49" s="34"/>
      <c r="B49" s="35"/>
      <c r="C49" s="30"/>
      <c r="D49" s="30"/>
      <c r="E49" s="30"/>
      <c r="F49" s="30"/>
      <c r="G49" s="30"/>
      <c r="H49" s="31"/>
      <c r="I49" s="30"/>
      <c r="J49" s="32"/>
      <c r="K49" s="32"/>
      <c r="L49" s="47"/>
      <c r="M49" s="26"/>
      <c r="N49" s="26"/>
      <c r="O49" s="26"/>
      <c r="P49" s="26"/>
      <c r="Q49" s="26"/>
      <c r="R49" s="26"/>
      <c r="S49" s="26"/>
      <c r="T49" s="26"/>
      <c r="U49" s="26"/>
      <c r="V49" s="26"/>
      <c r="W49" s="26"/>
      <c r="X49" s="26"/>
      <c r="Y49" s="26"/>
      <c r="Z49" s="26"/>
      <c r="AA49" s="26"/>
      <c r="AB49" s="26"/>
    </row>
    <row r="50">
      <c r="A50" s="34"/>
      <c r="B50" s="35"/>
      <c r="C50" s="30"/>
      <c r="D50" s="30"/>
      <c r="E50" s="30"/>
      <c r="F50" s="30"/>
      <c r="G50" s="30"/>
      <c r="H50" s="31"/>
      <c r="I50" s="30"/>
      <c r="J50" s="32"/>
      <c r="K50" s="32"/>
      <c r="L50" s="47"/>
      <c r="M50" s="26"/>
      <c r="N50" s="26"/>
      <c r="O50" s="26"/>
      <c r="P50" s="26"/>
      <c r="Q50" s="26"/>
      <c r="R50" s="26"/>
      <c r="S50" s="26"/>
      <c r="T50" s="26"/>
      <c r="U50" s="26"/>
      <c r="V50" s="26"/>
      <c r="W50" s="26"/>
      <c r="X50" s="26"/>
      <c r="Y50" s="26"/>
      <c r="Z50" s="26"/>
      <c r="AA50" s="26"/>
      <c r="AB50" s="26"/>
    </row>
    <row r="51">
      <c r="A51" s="34"/>
      <c r="B51" s="35"/>
      <c r="C51" s="30"/>
      <c r="D51" s="30"/>
      <c r="E51" s="30"/>
      <c r="F51" s="30"/>
      <c r="G51" s="30"/>
      <c r="H51" s="31"/>
      <c r="I51" s="30"/>
      <c r="J51" s="32"/>
      <c r="K51" s="32"/>
      <c r="L51" s="47"/>
      <c r="M51" s="26"/>
      <c r="N51" s="26"/>
      <c r="O51" s="26"/>
      <c r="P51" s="26"/>
      <c r="Q51" s="26"/>
      <c r="R51" s="26"/>
      <c r="S51" s="26"/>
      <c r="T51" s="26"/>
      <c r="U51" s="26"/>
      <c r="V51" s="26"/>
      <c r="W51" s="26"/>
      <c r="X51" s="26"/>
      <c r="Y51" s="26"/>
      <c r="Z51" s="26"/>
      <c r="AA51" s="26"/>
      <c r="AB51" s="26"/>
    </row>
    <row r="52">
      <c r="A52" s="34"/>
      <c r="B52" s="35"/>
      <c r="C52" s="30"/>
      <c r="D52" s="30"/>
      <c r="E52" s="30"/>
      <c r="F52" s="30"/>
      <c r="G52" s="30"/>
      <c r="H52" s="31"/>
      <c r="I52" s="30"/>
      <c r="J52" s="32"/>
      <c r="K52" s="32"/>
      <c r="L52" s="47"/>
      <c r="M52" s="26"/>
      <c r="N52" s="26"/>
      <c r="O52" s="26"/>
      <c r="P52" s="26"/>
      <c r="Q52" s="26"/>
      <c r="R52" s="26"/>
      <c r="S52" s="26"/>
      <c r="T52" s="26"/>
      <c r="U52" s="26"/>
      <c r="V52" s="26"/>
      <c r="W52" s="26"/>
      <c r="X52" s="26"/>
      <c r="Y52" s="26"/>
      <c r="Z52" s="26"/>
      <c r="AA52" s="26"/>
      <c r="AB52" s="26"/>
    </row>
    <row r="53">
      <c r="A53" s="34"/>
      <c r="B53" s="35"/>
      <c r="C53" s="30"/>
      <c r="D53" s="30"/>
      <c r="E53" s="30"/>
      <c r="F53" s="30"/>
      <c r="G53" s="30"/>
      <c r="H53" s="31"/>
      <c r="I53" s="30"/>
      <c r="J53" s="32"/>
      <c r="K53" s="32"/>
      <c r="L53" s="47"/>
      <c r="M53" s="26"/>
      <c r="N53" s="26"/>
      <c r="O53" s="26"/>
      <c r="P53" s="26"/>
      <c r="Q53" s="26"/>
      <c r="R53" s="26"/>
      <c r="S53" s="26"/>
      <c r="T53" s="26"/>
      <c r="U53" s="26"/>
      <c r="V53" s="26"/>
      <c r="W53" s="26"/>
      <c r="X53" s="26"/>
      <c r="Y53" s="26"/>
      <c r="Z53" s="26"/>
      <c r="AA53" s="26"/>
      <c r="AB53" s="26"/>
    </row>
    <row r="54">
      <c r="A54" s="34"/>
      <c r="B54" s="35"/>
      <c r="C54" s="30"/>
      <c r="D54" s="30"/>
      <c r="E54" s="30"/>
      <c r="F54" s="30"/>
      <c r="G54" s="30"/>
      <c r="H54" s="31"/>
      <c r="I54" s="30"/>
      <c r="J54" s="32"/>
      <c r="K54" s="32"/>
      <c r="L54" s="47"/>
      <c r="M54" s="26"/>
      <c r="N54" s="26"/>
      <c r="O54" s="26"/>
      <c r="P54" s="26"/>
      <c r="Q54" s="26"/>
      <c r="R54" s="26"/>
      <c r="S54" s="26"/>
      <c r="T54" s="26"/>
      <c r="U54" s="26"/>
      <c r="V54" s="26"/>
      <c r="W54" s="26"/>
      <c r="X54" s="26"/>
      <c r="Y54" s="26"/>
      <c r="Z54" s="26"/>
      <c r="AA54" s="26"/>
      <c r="AB54" s="26"/>
    </row>
    <row r="55">
      <c r="A55" s="34"/>
      <c r="B55" s="35"/>
      <c r="C55" s="30"/>
      <c r="D55" s="30"/>
      <c r="E55" s="30"/>
      <c r="F55" s="30"/>
      <c r="G55" s="30"/>
      <c r="H55" s="31"/>
      <c r="I55" s="30"/>
      <c r="J55" s="32"/>
      <c r="K55" s="32"/>
      <c r="L55" s="47"/>
      <c r="M55" s="26"/>
      <c r="N55" s="26"/>
      <c r="O55" s="26"/>
      <c r="P55" s="26"/>
      <c r="Q55" s="26"/>
      <c r="R55" s="26"/>
      <c r="S55" s="26"/>
      <c r="T55" s="26"/>
      <c r="U55" s="26"/>
      <c r="V55" s="26"/>
      <c r="W55" s="26"/>
      <c r="X55" s="26"/>
      <c r="Y55" s="26"/>
      <c r="Z55" s="26"/>
      <c r="AA55" s="26"/>
      <c r="AB55" s="26"/>
    </row>
    <row r="56">
      <c r="A56" s="34"/>
      <c r="B56" s="35"/>
      <c r="C56" s="30"/>
      <c r="D56" s="30"/>
      <c r="E56" s="30"/>
      <c r="F56" s="30"/>
      <c r="G56" s="30"/>
      <c r="H56" s="31"/>
      <c r="I56" s="30"/>
      <c r="J56" s="32"/>
      <c r="K56" s="32"/>
      <c r="L56" s="47"/>
      <c r="M56" s="26"/>
      <c r="N56" s="26"/>
      <c r="O56" s="26"/>
      <c r="P56" s="26"/>
      <c r="Q56" s="26"/>
      <c r="R56" s="26"/>
      <c r="S56" s="26"/>
      <c r="T56" s="26"/>
      <c r="U56" s="26"/>
      <c r="V56" s="26"/>
      <c r="W56" s="26"/>
      <c r="X56" s="26"/>
      <c r="Y56" s="26"/>
      <c r="Z56" s="26"/>
      <c r="AA56" s="26"/>
      <c r="AB56" s="26"/>
    </row>
    <row r="57">
      <c r="A57" s="34"/>
      <c r="B57" s="35"/>
      <c r="C57" s="30"/>
      <c r="D57" s="30"/>
      <c r="E57" s="30"/>
      <c r="F57" s="30"/>
      <c r="G57" s="30"/>
      <c r="H57" s="31"/>
      <c r="I57" s="30"/>
      <c r="J57" s="32"/>
      <c r="K57" s="32"/>
      <c r="L57" s="47"/>
      <c r="M57" s="26"/>
      <c r="N57" s="26"/>
      <c r="O57" s="26"/>
      <c r="P57" s="26"/>
      <c r="Q57" s="26"/>
      <c r="R57" s="26"/>
      <c r="S57" s="26"/>
      <c r="T57" s="26"/>
      <c r="U57" s="26"/>
      <c r="V57" s="26"/>
      <c r="W57" s="26"/>
      <c r="X57" s="26"/>
      <c r="Y57" s="26"/>
      <c r="Z57" s="26"/>
      <c r="AA57" s="26"/>
      <c r="AB57" s="26"/>
    </row>
    <row r="58">
      <c r="A58" s="34"/>
      <c r="B58" s="35"/>
      <c r="C58" s="30"/>
      <c r="D58" s="30"/>
      <c r="E58" s="30"/>
      <c r="F58" s="30"/>
      <c r="G58" s="30"/>
      <c r="H58" s="31"/>
      <c r="I58" s="30"/>
      <c r="J58" s="32"/>
      <c r="K58" s="32"/>
      <c r="L58" s="47"/>
      <c r="M58" s="26"/>
      <c r="N58" s="26"/>
      <c r="O58" s="26"/>
      <c r="P58" s="26"/>
      <c r="Q58" s="26"/>
      <c r="R58" s="26"/>
      <c r="S58" s="26"/>
      <c r="T58" s="26"/>
      <c r="U58" s="26"/>
      <c r="V58" s="26"/>
      <c r="W58" s="26"/>
      <c r="X58" s="26"/>
      <c r="Y58" s="26"/>
      <c r="Z58" s="26"/>
      <c r="AA58" s="26"/>
      <c r="AB58" s="26"/>
    </row>
    <row r="59">
      <c r="A59" s="34"/>
      <c r="B59" s="35"/>
      <c r="C59" s="30"/>
      <c r="D59" s="30"/>
      <c r="E59" s="30"/>
      <c r="F59" s="30"/>
      <c r="G59" s="30"/>
      <c r="H59" s="31"/>
      <c r="I59" s="30"/>
      <c r="J59" s="32"/>
      <c r="K59" s="32"/>
      <c r="L59" s="47"/>
      <c r="M59" s="26"/>
      <c r="N59" s="26"/>
      <c r="O59" s="26"/>
      <c r="P59" s="26"/>
      <c r="Q59" s="26"/>
      <c r="R59" s="26"/>
      <c r="S59" s="26"/>
      <c r="T59" s="26"/>
      <c r="U59" s="26"/>
      <c r="V59" s="26"/>
      <c r="W59" s="26"/>
      <c r="X59" s="26"/>
      <c r="Y59" s="26"/>
      <c r="Z59" s="26"/>
      <c r="AA59" s="26"/>
      <c r="AB59" s="26"/>
    </row>
    <row r="60">
      <c r="A60" s="34"/>
      <c r="B60" s="35"/>
      <c r="C60" s="30"/>
      <c r="D60" s="30"/>
      <c r="E60" s="30"/>
      <c r="F60" s="30"/>
      <c r="G60" s="30"/>
      <c r="H60" s="31"/>
      <c r="I60" s="30"/>
      <c r="J60" s="32"/>
      <c r="K60" s="32"/>
      <c r="L60" s="47"/>
      <c r="M60" s="26"/>
      <c r="N60" s="26"/>
      <c r="O60" s="26"/>
      <c r="P60" s="26"/>
      <c r="Q60" s="26"/>
      <c r="R60" s="26"/>
      <c r="S60" s="26"/>
      <c r="T60" s="26"/>
      <c r="U60" s="26"/>
      <c r="V60" s="26"/>
      <c r="W60" s="26"/>
      <c r="X60" s="26"/>
      <c r="Y60" s="26"/>
      <c r="Z60" s="26"/>
      <c r="AA60" s="26"/>
      <c r="AB60" s="26"/>
    </row>
    <row r="61">
      <c r="A61" s="34"/>
      <c r="B61" s="35"/>
      <c r="C61" s="30"/>
      <c r="D61" s="30"/>
      <c r="E61" s="30"/>
      <c r="F61" s="30"/>
      <c r="G61" s="30"/>
      <c r="H61" s="31"/>
      <c r="I61" s="30"/>
      <c r="J61" s="32"/>
      <c r="K61" s="32"/>
      <c r="L61" s="47"/>
      <c r="M61" s="26"/>
      <c r="N61" s="26"/>
      <c r="O61" s="26"/>
      <c r="P61" s="26"/>
      <c r="Q61" s="26"/>
      <c r="R61" s="26"/>
      <c r="S61" s="26"/>
      <c r="T61" s="26"/>
      <c r="U61" s="26"/>
      <c r="V61" s="26"/>
      <c r="W61" s="26"/>
      <c r="X61" s="26"/>
      <c r="Y61" s="26"/>
      <c r="Z61" s="26"/>
      <c r="AA61" s="26"/>
      <c r="AB61" s="26"/>
    </row>
    <row r="62">
      <c r="A62" s="34"/>
      <c r="B62" s="35"/>
      <c r="C62" s="30"/>
      <c r="D62" s="30"/>
      <c r="E62" s="30"/>
      <c r="F62" s="30"/>
      <c r="G62" s="30"/>
      <c r="H62" s="31"/>
      <c r="I62" s="30"/>
      <c r="J62" s="32"/>
      <c r="K62" s="32"/>
      <c r="L62" s="47"/>
      <c r="M62" s="26"/>
      <c r="N62" s="26"/>
      <c r="O62" s="26"/>
      <c r="P62" s="26"/>
      <c r="Q62" s="26"/>
      <c r="R62" s="26"/>
      <c r="S62" s="26"/>
      <c r="T62" s="26"/>
      <c r="U62" s="26"/>
      <c r="V62" s="26"/>
      <c r="W62" s="26"/>
      <c r="X62" s="26"/>
      <c r="Y62" s="26"/>
      <c r="Z62" s="26"/>
      <c r="AA62" s="26"/>
      <c r="AB62" s="26"/>
    </row>
    <row r="63">
      <c r="A63" s="34"/>
      <c r="B63" s="35"/>
      <c r="C63" s="30"/>
      <c r="D63" s="30"/>
      <c r="E63" s="30"/>
      <c r="F63" s="30"/>
      <c r="G63" s="30"/>
      <c r="H63" s="31"/>
      <c r="I63" s="30"/>
      <c r="J63" s="32"/>
      <c r="K63" s="32"/>
      <c r="L63" s="47"/>
      <c r="M63" s="26"/>
      <c r="N63" s="26"/>
      <c r="O63" s="26"/>
      <c r="P63" s="26"/>
      <c r="Q63" s="26"/>
      <c r="R63" s="26"/>
      <c r="S63" s="26"/>
      <c r="T63" s="26"/>
      <c r="U63" s="26"/>
      <c r="V63" s="26"/>
      <c r="W63" s="26"/>
      <c r="X63" s="26"/>
      <c r="Y63" s="26"/>
      <c r="Z63" s="26"/>
      <c r="AA63" s="26"/>
      <c r="AB63" s="26"/>
    </row>
    <row r="64">
      <c r="A64" s="34"/>
      <c r="B64" s="35"/>
      <c r="C64" s="30"/>
      <c r="D64" s="30"/>
      <c r="E64" s="30"/>
      <c r="F64" s="30"/>
      <c r="G64" s="30"/>
      <c r="H64" s="31"/>
      <c r="I64" s="30"/>
      <c r="J64" s="32"/>
      <c r="K64" s="32"/>
      <c r="L64" s="47"/>
      <c r="M64" s="26"/>
      <c r="N64" s="26"/>
      <c r="O64" s="26"/>
      <c r="P64" s="26"/>
      <c r="Q64" s="26"/>
      <c r="R64" s="26"/>
      <c r="S64" s="26"/>
      <c r="T64" s="26"/>
      <c r="U64" s="26"/>
      <c r="V64" s="26"/>
      <c r="W64" s="26"/>
      <c r="X64" s="26"/>
      <c r="Y64" s="26"/>
      <c r="Z64" s="26"/>
      <c r="AA64" s="26"/>
      <c r="AB64" s="26"/>
    </row>
    <row r="65">
      <c r="A65" s="34"/>
      <c r="B65" s="35"/>
      <c r="C65" s="30"/>
      <c r="D65" s="30"/>
      <c r="E65" s="30"/>
      <c r="F65" s="30"/>
      <c r="G65" s="30"/>
      <c r="H65" s="31"/>
      <c r="I65" s="30"/>
      <c r="J65" s="32"/>
      <c r="K65" s="32"/>
      <c r="L65" s="47"/>
      <c r="M65" s="26"/>
      <c r="N65" s="26"/>
      <c r="O65" s="26"/>
      <c r="P65" s="26"/>
      <c r="Q65" s="26"/>
      <c r="R65" s="26"/>
      <c r="S65" s="26"/>
      <c r="T65" s="26"/>
      <c r="U65" s="26"/>
      <c r="V65" s="26"/>
      <c r="W65" s="26"/>
      <c r="X65" s="26"/>
      <c r="Y65" s="26"/>
      <c r="Z65" s="26"/>
      <c r="AA65" s="26"/>
      <c r="AB65" s="26"/>
    </row>
    <row r="66">
      <c r="A66" s="34"/>
      <c r="B66" s="35"/>
      <c r="C66" s="30"/>
      <c r="D66" s="30"/>
      <c r="E66" s="30"/>
      <c r="F66" s="30"/>
      <c r="G66" s="30"/>
      <c r="H66" s="31"/>
      <c r="I66" s="30"/>
      <c r="J66" s="32"/>
      <c r="K66" s="32"/>
      <c r="L66" s="47"/>
      <c r="M66" s="26"/>
      <c r="N66" s="26"/>
      <c r="O66" s="26"/>
      <c r="P66" s="26"/>
      <c r="Q66" s="26"/>
      <c r="R66" s="26"/>
      <c r="S66" s="26"/>
      <c r="T66" s="26"/>
      <c r="U66" s="26"/>
      <c r="V66" s="26"/>
      <c r="W66" s="26"/>
      <c r="X66" s="26"/>
      <c r="Y66" s="26"/>
      <c r="Z66" s="26"/>
      <c r="AA66" s="26"/>
      <c r="AB66" s="26"/>
    </row>
    <row r="67">
      <c r="A67" s="34"/>
      <c r="B67" s="35"/>
      <c r="C67" s="30"/>
      <c r="D67" s="30"/>
      <c r="E67" s="30"/>
      <c r="F67" s="30"/>
      <c r="G67" s="30"/>
      <c r="H67" s="31"/>
      <c r="I67" s="30"/>
      <c r="J67" s="32"/>
      <c r="K67" s="32"/>
      <c r="L67" s="47"/>
      <c r="M67" s="26"/>
      <c r="N67" s="26"/>
      <c r="O67" s="26"/>
      <c r="P67" s="26"/>
      <c r="Q67" s="26"/>
      <c r="R67" s="26"/>
      <c r="S67" s="26"/>
      <c r="T67" s="26"/>
      <c r="U67" s="26"/>
      <c r="V67" s="26"/>
      <c r="W67" s="26"/>
      <c r="X67" s="26"/>
      <c r="Y67" s="26"/>
      <c r="Z67" s="26"/>
      <c r="AA67" s="26"/>
      <c r="AB67" s="26"/>
    </row>
    <row r="68">
      <c r="A68" s="34"/>
      <c r="B68" s="35"/>
      <c r="C68" s="30"/>
      <c r="D68" s="30"/>
      <c r="E68" s="30"/>
      <c r="F68" s="30"/>
      <c r="G68" s="30"/>
      <c r="H68" s="31"/>
      <c r="I68" s="30"/>
      <c r="J68" s="32"/>
      <c r="K68" s="32"/>
      <c r="L68" s="47"/>
      <c r="M68" s="26"/>
      <c r="N68" s="26"/>
      <c r="O68" s="26"/>
      <c r="P68" s="26"/>
      <c r="Q68" s="26"/>
      <c r="R68" s="26"/>
      <c r="S68" s="26"/>
      <c r="T68" s="26"/>
      <c r="U68" s="26"/>
      <c r="V68" s="26"/>
      <c r="W68" s="26"/>
      <c r="X68" s="26"/>
      <c r="Y68" s="26"/>
      <c r="Z68" s="26"/>
      <c r="AA68" s="26"/>
      <c r="AB68" s="26"/>
    </row>
    <row r="69">
      <c r="A69" s="34"/>
      <c r="B69" s="35"/>
      <c r="C69" s="30"/>
      <c r="D69" s="30"/>
      <c r="E69" s="30"/>
      <c r="F69" s="30"/>
      <c r="G69" s="30"/>
      <c r="H69" s="31"/>
      <c r="I69" s="30"/>
      <c r="J69" s="32"/>
      <c r="K69" s="32"/>
      <c r="L69" s="47"/>
      <c r="M69" s="26"/>
      <c r="N69" s="26"/>
      <c r="O69" s="26"/>
      <c r="P69" s="26"/>
      <c r="Q69" s="26"/>
      <c r="R69" s="26"/>
      <c r="S69" s="26"/>
      <c r="T69" s="26"/>
      <c r="U69" s="26"/>
      <c r="V69" s="26"/>
      <c r="W69" s="26"/>
      <c r="X69" s="26"/>
      <c r="Y69" s="26"/>
      <c r="Z69" s="26"/>
      <c r="AA69" s="26"/>
      <c r="AB69" s="26"/>
    </row>
    <row r="70">
      <c r="A70" s="34"/>
      <c r="B70" s="35"/>
      <c r="C70" s="30"/>
      <c r="D70" s="30"/>
      <c r="E70" s="30"/>
      <c r="F70" s="30"/>
      <c r="G70" s="30"/>
      <c r="H70" s="31"/>
      <c r="I70" s="30"/>
      <c r="J70" s="32"/>
      <c r="K70" s="32"/>
      <c r="L70" s="47"/>
      <c r="M70" s="26"/>
      <c r="N70" s="26"/>
      <c r="O70" s="26"/>
      <c r="P70" s="26"/>
      <c r="Q70" s="26"/>
      <c r="R70" s="26"/>
      <c r="S70" s="26"/>
      <c r="T70" s="26"/>
      <c r="U70" s="26"/>
      <c r="V70" s="26"/>
      <c r="W70" s="26"/>
      <c r="X70" s="26"/>
      <c r="Y70" s="26"/>
      <c r="Z70" s="26"/>
      <c r="AA70" s="26"/>
      <c r="AB70" s="26"/>
    </row>
    <row r="71">
      <c r="A71" s="34"/>
      <c r="B71" s="35"/>
      <c r="C71" s="30"/>
      <c r="D71" s="30"/>
      <c r="E71" s="30"/>
      <c r="F71" s="30"/>
      <c r="G71" s="30"/>
      <c r="H71" s="31"/>
      <c r="I71" s="30"/>
      <c r="J71" s="32"/>
      <c r="K71" s="32"/>
      <c r="L71" s="47"/>
      <c r="M71" s="26"/>
      <c r="N71" s="26"/>
      <c r="O71" s="26"/>
      <c r="P71" s="26"/>
      <c r="Q71" s="26"/>
      <c r="R71" s="26"/>
      <c r="S71" s="26"/>
      <c r="T71" s="26"/>
      <c r="U71" s="26"/>
      <c r="V71" s="26"/>
      <c r="W71" s="26"/>
      <c r="X71" s="26"/>
      <c r="Y71" s="26"/>
      <c r="Z71" s="26"/>
      <c r="AA71" s="26"/>
      <c r="AB71" s="26"/>
    </row>
    <row r="72">
      <c r="A72" s="34"/>
      <c r="B72" s="35"/>
      <c r="C72" s="30"/>
      <c r="D72" s="30"/>
      <c r="E72" s="30"/>
      <c r="F72" s="30"/>
      <c r="G72" s="30"/>
      <c r="H72" s="31"/>
      <c r="I72" s="30"/>
      <c r="J72" s="32"/>
      <c r="K72" s="32"/>
      <c r="L72" s="47"/>
      <c r="M72" s="26"/>
      <c r="N72" s="26"/>
      <c r="O72" s="26"/>
      <c r="P72" s="26"/>
      <c r="Q72" s="26"/>
      <c r="R72" s="26"/>
      <c r="S72" s="26"/>
      <c r="T72" s="26"/>
      <c r="U72" s="26"/>
      <c r="V72" s="26"/>
      <c r="W72" s="26"/>
      <c r="X72" s="26"/>
      <c r="Y72" s="26"/>
      <c r="Z72" s="26"/>
      <c r="AA72" s="26"/>
      <c r="AB72" s="26"/>
    </row>
    <row r="73">
      <c r="A73" s="34"/>
      <c r="B73" s="35"/>
      <c r="C73" s="30"/>
      <c r="D73" s="30"/>
      <c r="E73" s="30"/>
      <c r="F73" s="30"/>
      <c r="G73" s="30"/>
      <c r="H73" s="31"/>
      <c r="I73" s="30"/>
      <c r="J73" s="32"/>
      <c r="K73" s="32"/>
      <c r="L73" s="47"/>
      <c r="M73" s="26"/>
      <c r="N73" s="26"/>
      <c r="O73" s="26"/>
      <c r="P73" s="26"/>
      <c r="Q73" s="26"/>
      <c r="R73" s="26"/>
      <c r="S73" s="26"/>
      <c r="T73" s="26"/>
      <c r="U73" s="26"/>
      <c r="V73" s="26"/>
      <c r="W73" s="26"/>
      <c r="X73" s="26"/>
      <c r="Y73" s="26"/>
      <c r="Z73" s="26"/>
      <c r="AA73" s="26"/>
      <c r="AB73" s="26"/>
    </row>
    <row r="74">
      <c r="A74" s="34"/>
      <c r="B74" s="35"/>
      <c r="C74" s="30"/>
      <c r="D74" s="30"/>
      <c r="E74" s="30"/>
      <c r="F74" s="30"/>
      <c r="G74" s="30"/>
      <c r="H74" s="31"/>
      <c r="I74" s="30"/>
      <c r="J74" s="32"/>
      <c r="K74" s="32"/>
      <c r="L74" s="47"/>
      <c r="M74" s="26"/>
      <c r="N74" s="26"/>
      <c r="O74" s="26"/>
      <c r="P74" s="26"/>
      <c r="Q74" s="26"/>
      <c r="R74" s="26"/>
      <c r="S74" s="26"/>
      <c r="T74" s="26"/>
      <c r="U74" s="26"/>
      <c r="V74" s="26"/>
      <c r="W74" s="26"/>
      <c r="X74" s="26"/>
      <c r="Y74" s="26"/>
      <c r="Z74" s="26"/>
      <c r="AA74" s="26"/>
      <c r="AB74" s="26"/>
    </row>
    <row r="75">
      <c r="A75" s="34"/>
      <c r="B75" s="35"/>
      <c r="C75" s="30"/>
      <c r="D75" s="30"/>
      <c r="E75" s="30"/>
      <c r="F75" s="30"/>
      <c r="G75" s="30"/>
      <c r="H75" s="31"/>
      <c r="I75" s="30"/>
      <c r="J75" s="32"/>
      <c r="K75" s="32"/>
      <c r="L75" s="47"/>
      <c r="M75" s="26"/>
      <c r="N75" s="26"/>
      <c r="O75" s="26"/>
      <c r="P75" s="26"/>
      <c r="Q75" s="26"/>
      <c r="R75" s="26"/>
      <c r="S75" s="26"/>
      <c r="T75" s="26"/>
      <c r="U75" s="26"/>
      <c r="V75" s="26"/>
      <c r="W75" s="26"/>
      <c r="X75" s="26"/>
      <c r="Y75" s="26"/>
      <c r="Z75" s="26"/>
      <c r="AA75" s="26"/>
      <c r="AB75" s="26"/>
    </row>
    <row r="76">
      <c r="A76" s="34"/>
      <c r="B76" s="35"/>
      <c r="C76" s="30"/>
      <c r="D76" s="30"/>
      <c r="E76" s="30"/>
      <c r="F76" s="30"/>
      <c r="G76" s="30"/>
      <c r="H76" s="31"/>
      <c r="I76" s="30"/>
      <c r="J76" s="32"/>
      <c r="K76" s="32"/>
      <c r="L76" s="47"/>
      <c r="M76" s="26"/>
      <c r="N76" s="26"/>
      <c r="O76" s="26"/>
      <c r="P76" s="26"/>
      <c r="Q76" s="26"/>
      <c r="R76" s="26"/>
      <c r="S76" s="26"/>
      <c r="T76" s="26"/>
      <c r="U76" s="26"/>
      <c r="V76" s="26"/>
      <c r="W76" s="26"/>
      <c r="X76" s="26"/>
      <c r="Y76" s="26"/>
      <c r="Z76" s="26"/>
      <c r="AA76" s="26"/>
      <c r="AB76" s="26"/>
    </row>
    <row r="77">
      <c r="A77" s="34"/>
      <c r="B77" s="35"/>
      <c r="C77" s="30"/>
      <c r="D77" s="30"/>
      <c r="E77" s="30"/>
      <c r="F77" s="30"/>
      <c r="G77" s="30"/>
      <c r="H77" s="31"/>
      <c r="I77" s="30"/>
      <c r="J77" s="32"/>
      <c r="K77" s="32"/>
      <c r="L77" s="47"/>
      <c r="M77" s="26"/>
      <c r="N77" s="26"/>
      <c r="O77" s="26"/>
      <c r="P77" s="26"/>
      <c r="Q77" s="26"/>
      <c r="R77" s="26"/>
      <c r="S77" s="26"/>
      <c r="T77" s="26"/>
      <c r="U77" s="26"/>
      <c r="V77" s="26"/>
      <c r="W77" s="26"/>
      <c r="X77" s="26"/>
      <c r="Y77" s="26"/>
      <c r="Z77" s="26"/>
      <c r="AA77" s="26"/>
      <c r="AB77" s="26"/>
    </row>
    <row r="78">
      <c r="A78" s="34"/>
      <c r="B78" s="35"/>
      <c r="C78" s="30"/>
      <c r="D78" s="30"/>
      <c r="E78" s="30"/>
      <c r="F78" s="30"/>
      <c r="G78" s="30"/>
      <c r="H78" s="31"/>
      <c r="I78" s="30"/>
      <c r="J78" s="32"/>
      <c r="K78" s="32"/>
      <c r="L78" s="47"/>
      <c r="M78" s="26"/>
      <c r="N78" s="26"/>
      <c r="O78" s="26"/>
      <c r="P78" s="26"/>
      <c r="Q78" s="26"/>
      <c r="R78" s="26"/>
      <c r="S78" s="26"/>
      <c r="T78" s="26"/>
      <c r="U78" s="26"/>
      <c r="V78" s="26"/>
      <c r="W78" s="26"/>
      <c r="X78" s="26"/>
      <c r="Y78" s="26"/>
      <c r="Z78" s="26"/>
      <c r="AA78" s="26"/>
      <c r="AB78" s="26"/>
    </row>
    <row r="79">
      <c r="A79" s="34"/>
      <c r="B79" s="35"/>
      <c r="C79" s="30"/>
      <c r="D79" s="30"/>
      <c r="E79" s="30"/>
      <c r="F79" s="30"/>
      <c r="G79" s="30"/>
      <c r="H79" s="31"/>
      <c r="I79" s="30"/>
      <c r="J79" s="32"/>
      <c r="K79" s="32"/>
      <c r="L79" s="47"/>
      <c r="M79" s="26"/>
      <c r="N79" s="26"/>
      <c r="O79" s="26"/>
      <c r="P79" s="26"/>
      <c r="Q79" s="26"/>
      <c r="R79" s="26"/>
      <c r="S79" s="26"/>
      <c r="T79" s="26"/>
      <c r="U79" s="26"/>
      <c r="V79" s="26"/>
      <c r="W79" s="26"/>
      <c r="X79" s="26"/>
      <c r="Y79" s="26"/>
      <c r="Z79" s="26"/>
      <c r="AA79" s="26"/>
      <c r="AB79" s="26"/>
    </row>
    <row r="80">
      <c r="A80" s="34"/>
      <c r="B80" s="35"/>
      <c r="C80" s="30"/>
      <c r="D80" s="30"/>
      <c r="E80" s="30"/>
      <c r="F80" s="30"/>
      <c r="G80" s="30"/>
      <c r="H80" s="31"/>
      <c r="I80" s="30"/>
      <c r="J80" s="32"/>
      <c r="K80" s="32"/>
      <c r="L80" s="47"/>
      <c r="M80" s="26"/>
      <c r="N80" s="26"/>
      <c r="O80" s="26"/>
      <c r="P80" s="26"/>
      <c r="Q80" s="26"/>
      <c r="R80" s="26"/>
      <c r="S80" s="26"/>
      <c r="T80" s="26"/>
      <c r="U80" s="26"/>
      <c r="V80" s="26"/>
      <c r="W80" s="26"/>
      <c r="X80" s="26"/>
      <c r="Y80" s="26"/>
      <c r="Z80" s="26"/>
      <c r="AA80" s="26"/>
      <c r="AB80" s="26"/>
    </row>
    <row r="81">
      <c r="A81" s="34"/>
      <c r="B81" s="35"/>
      <c r="C81" s="30"/>
      <c r="D81" s="30"/>
      <c r="E81" s="30"/>
      <c r="F81" s="30"/>
      <c r="G81" s="30"/>
      <c r="H81" s="31"/>
      <c r="I81" s="30"/>
      <c r="J81" s="32"/>
      <c r="K81" s="32"/>
      <c r="L81" s="47"/>
      <c r="M81" s="26"/>
      <c r="N81" s="26"/>
      <c r="O81" s="26"/>
      <c r="P81" s="26"/>
      <c r="Q81" s="26"/>
      <c r="R81" s="26"/>
      <c r="S81" s="26"/>
      <c r="T81" s="26"/>
      <c r="U81" s="26"/>
      <c r="V81" s="26"/>
      <c r="W81" s="26"/>
      <c r="X81" s="26"/>
      <c r="Y81" s="26"/>
      <c r="Z81" s="26"/>
      <c r="AA81" s="26"/>
      <c r="AB81" s="26"/>
    </row>
    <row r="82">
      <c r="A82" s="34"/>
      <c r="B82" s="35"/>
      <c r="C82" s="30"/>
      <c r="D82" s="30"/>
      <c r="E82" s="30"/>
      <c r="F82" s="30"/>
      <c r="G82" s="30"/>
      <c r="H82" s="31"/>
      <c r="I82" s="30"/>
      <c r="J82" s="32"/>
      <c r="K82" s="32"/>
      <c r="L82" s="47"/>
      <c r="M82" s="26"/>
      <c r="N82" s="26"/>
      <c r="O82" s="26"/>
      <c r="P82" s="26"/>
      <c r="Q82" s="26"/>
      <c r="R82" s="26"/>
      <c r="S82" s="26"/>
      <c r="T82" s="26"/>
      <c r="U82" s="26"/>
      <c r="V82" s="26"/>
      <c r="W82" s="26"/>
      <c r="X82" s="26"/>
      <c r="Y82" s="26"/>
      <c r="Z82" s="26"/>
      <c r="AA82" s="26"/>
      <c r="AB82" s="26"/>
    </row>
    <row r="83">
      <c r="A83" s="34"/>
      <c r="B83" s="35"/>
      <c r="C83" s="30"/>
      <c r="D83" s="30"/>
      <c r="E83" s="30"/>
      <c r="F83" s="30"/>
      <c r="G83" s="30"/>
      <c r="H83" s="31"/>
      <c r="I83" s="30"/>
      <c r="J83" s="32"/>
      <c r="K83" s="32"/>
      <c r="L83" s="47"/>
      <c r="M83" s="26"/>
      <c r="N83" s="26"/>
      <c r="O83" s="26"/>
      <c r="P83" s="26"/>
      <c r="Q83" s="26"/>
      <c r="R83" s="26"/>
      <c r="S83" s="26"/>
      <c r="T83" s="26"/>
      <c r="U83" s="26"/>
      <c r="V83" s="26"/>
      <c r="W83" s="26"/>
      <c r="X83" s="26"/>
      <c r="Y83" s="26"/>
      <c r="Z83" s="26"/>
      <c r="AA83" s="26"/>
      <c r="AB83" s="26"/>
    </row>
    <row r="84">
      <c r="A84" s="34"/>
      <c r="B84" s="35"/>
      <c r="C84" s="30"/>
      <c r="D84" s="30"/>
      <c r="E84" s="30"/>
      <c r="F84" s="30"/>
      <c r="G84" s="30"/>
      <c r="H84" s="31"/>
      <c r="I84" s="30"/>
      <c r="J84" s="32"/>
      <c r="K84" s="32"/>
      <c r="L84" s="47"/>
      <c r="M84" s="26"/>
      <c r="N84" s="26"/>
      <c r="O84" s="26"/>
      <c r="P84" s="26"/>
      <c r="Q84" s="26"/>
      <c r="R84" s="26"/>
      <c r="S84" s="26"/>
      <c r="T84" s="26"/>
      <c r="U84" s="26"/>
      <c r="V84" s="26"/>
      <c r="W84" s="26"/>
      <c r="X84" s="26"/>
      <c r="Y84" s="26"/>
      <c r="Z84" s="26"/>
      <c r="AA84" s="26"/>
      <c r="AB84" s="26"/>
    </row>
    <row r="85">
      <c r="A85" s="34"/>
      <c r="B85" s="35"/>
      <c r="C85" s="30"/>
      <c r="D85" s="30"/>
      <c r="E85" s="30"/>
      <c r="F85" s="30"/>
      <c r="G85" s="30"/>
      <c r="H85" s="31"/>
      <c r="I85" s="30"/>
      <c r="J85" s="32"/>
      <c r="K85" s="32"/>
      <c r="L85" s="47"/>
      <c r="M85" s="26"/>
      <c r="N85" s="26"/>
      <c r="O85" s="26"/>
      <c r="P85" s="26"/>
      <c r="Q85" s="26"/>
      <c r="R85" s="26"/>
      <c r="S85" s="26"/>
      <c r="T85" s="26"/>
      <c r="U85" s="26"/>
      <c r="V85" s="26"/>
      <c r="W85" s="26"/>
      <c r="X85" s="26"/>
      <c r="Y85" s="26"/>
      <c r="Z85" s="26"/>
      <c r="AA85" s="26"/>
      <c r="AB85" s="26"/>
    </row>
    <row r="86">
      <c r="A86" s="1"/>
      <c r="B86" s="36"/>
      <c r="C86" s="36"/>
      <c r="D86" s="36"/>
      <c r="E86" s="36"/>
      <c r="F86" s="36"/>
      <c r="G86" s="36"/>
      <c r="H86" s="37"/>
      <c r="I86" s="36"/>
      <c r="J86" s="38"/>
      <c r="K86" s="38"/>
      <c r="L86" s="39"/>
      <c r="M86" s="39"/>
      <c r="N86" s="39"/>
      <c r="O86" s="39"/>
      <c r="P86" s="39"/>
      <c r="Q86" s="39"/>
      <c r="R86" s="39"/>
      <c r="S86" s="39"/>
      <c r="T86" s="39"/>
      <c r="U86" s="39"/>
      <c r="V86" s="39"/>
      <c r="W86" s="39"/>
      <c r="X86" s="39"/>
      <c r="Y86" s="39"/>
      <c r="Z86" s="39"/>
      <c r="AA86" s="39"/>
      <c r="AB86" s="39"/>
    </row>
    <row r="87">
      <c r="A87" s="1"/>
      <c r="B87" s="36"/>
      <c r="C87" s="36"/>
      <c r="D87" s="36"/>
      <c r="E87" s="36"/>
      <c r="F87" s="36"/>
      <c r="G87" s="36"/>
      <c r="H87" s="37"/>
      <c r="I87" s="36"/>
      <c r="J87" s="38"/>
      <c r="K87" s="38"/>
      <c r="L87" s="39"/>
      <c r="M87" s="39"/>
      <c r="N87" s="39"/>
      <c r="O87" s="39"/>
      <c r="P87" s="39"/>
      <c r="Q87" s="39"/>
      <c r="R87" s="39"/>
      <c r="S87" s="39"/>
      <c r="T87" s="39"/>
      <c r="U87" s="39"/>
      <c r="V87" s="39"/>
      <c r="W87" s="39"/>
      <c r="X87" s="39"/>
      <c r="Y87" s="39"/>
      <c r="Z87" s="39"/>
      <c r="AA87" s="39"/>
      <c r="AB87" s="39"/>
    </row>
    <row r="88">
      <c r="A88" s="1"/>
      <c r="B88" s="36"/>
      <c r="C88" s="36"/>
      <c r="D88" s="36"/>
      <c r="E88" s="36"/>
      <c r="F88" s="36"/>
      <c r="G88" s="36"/>
      <c r="H88" s="37"/>
      <c r="I88" s="36"/>
      <c r="J88" s="38"/>
      <c r="K88" s="38"/>
      <c r="L88" s="39"/>
      <c r="M88" s="39"/>
      <c r="N88" s="39"/>
      <c r="O88" s="39"/>
      <c r="P88" s="39"/>
      <c r="Q88" s="39"/>
      <c r="R88" s="39"/>
      <c r="S88" s="39"/>
      <c r="T88" s="39"/>
      <c r="U88" s="39"/>
      <c r="V88" s="39"/>
      <c r="W88" s="39"/>
      <c r="X88" s="39"/>
      <c r="Y88" s="39"/>
      <c r="Z88" s="39"/>
      <c r="AA88" s="39"/>
      <c r="AB88" s="39"/>
    </row>
    <row r="89">
      <c r="A89" s="1"/>
      <c r="B89" s="36"/>
      <c r="C89" s="36"/>
      <c r="D89" s="36"/>
      <c r="E89" s="36"/>
      <c r="F89" s="36"/>
      <c r="G89" s="36"/>
      <c r="H89" s="37"/>
      <c r="I89" s="36"/>
      <c r="J89" s="38"/>
      <c r="K89" s="38"/>
      <c r="L89" s="39"/>
      <c r="M89" s="39"/>
      <c r="N89" s="39"/>
      <c r="O89" s="39"/>
      <c r="P89" s="39"/>
      <c r="Q89" s="39"/>
      <c r="R89" s="39"/>
      <c r="S89" s="39"/>
      <c r="T89" s="39"/>
      <c r="U89" s="39"/>
      <c r="V89" s="39"/>
      <c r="W89" s="39"/>
      <c r="X89" s="39"/>
      <c r="Y89" s="39"/>
      <c r="Z89" s="39"/>
      <c r="AA89" s="39"/>
      <c r="AB89" s="39"/>
    </row>
    <row r="90">
      <c r="A90" s="1"/>
      <c r="B90" s="36"/>
      <c r="C90" s="36"/>
      <c r="D90" s="36"/>
      <c r="E90" s="36"/>
      <c r="F90" s="36"/>
      <c r="G90" s="36"/>
      <c r="H90" s="37"/>
      <c r="I90" s="36"/>
      <c r="J90" s="38"/>
      <c r="K90" s="38"/>
      <c r="L90" s="39"/>
      <c r="M90" s="39"/>
      <c r="N90" s="39"/>
      <c r="O90" s="39"/>
      <c r="P90" s="39"/>
      <c r="Q90" s="39"/>
      <c r="R90" s="39"/>
      <c r="S90" s="39"/>
      <c r="T90" s="39"/>
      <c r="U90" s="39"/>
      <c r="V90" s="39"/>
      <c r="W90" s="39"/>
      <c r="X90" s="39"/>
      <c r="Y90" s="39"/>
      <c r="Z90" s="39"/>
      <c r="AA90" s="39"/>
      <c r="AB90" s="39"/>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12" width="17.0"/>
  </cols>
  <sheetData>
    <row r="1">
      <c r="A1" s="1"/>
      <c r="B1" s="2"/>
      <c r="C1" s="1"/>
      <c r="D1" s="40" t="s">
        <v>452</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453</v>
      </c>
      <c r="E4" s="12"/>
      <c r="F4" s="10"/>
      <c r="G4" s="12"/>
      <c r="H4" s="13"/>
      <c r="I4" s="1"/>
      <c r="J4" s="9"/>
      <c r="K4" s="5"/>
      <c r="L4" s="6"/>
      <c r="M4" s="6"/>
      <c r="N4" s="6"/>
      <c r="O4" s="6"/>
      <c r="P4" s="6"/>
      <c r="Q4" s="6"/>
      <c r="R4" s="6"/>
      <c r="S4" s="6"/>
      <c r="T4" s="6"/>
      <c r="U4" s="6"/>
      <c r="V4" s="6"/>
      <c r="W4" s="6"/>
      <c r="X4" s="6"/>
      <c r="Y4" s="6"/>
      <c r="Z4" s="6"/>
      <c r="AA4" s="6"/>
      <c r="AB4" s="6"/>
    </row>
    <row r="5">
      <c r="A5" s="1"/>
      <c r="B5" s="10"/>
      <c r="C5" s="14"/>
      <c r="D5" s="15" t="s">
        <v>6</v>
      </c>
      <c r="E5" s="16"/>
      <c r="F5" s="10"/>
      <c r="G5" s="12"/>
      <c r="H5" s="13"/>
      <c r="I5" s="1"/>
      <c r="J5" s="9" t="s">
        <v>454</v>
      </c>
      <c r="K5" s="5"/>
      <c r="L5" s="6"/>
      <c r="M5" s="6"/>
      <c r="N5" s="6"/>
      <c r="O5" s="6"/>
      <c r="P5" s="6"/>
      <c r="Q5" s="6"/>
      <c r="R5" s="6"/>
      <c r="S5" s="6"/>
      <c r="T5" s="6"/>
      <c r="U5" s="6"/>
      <c r="V5" s="6"/>
      <c r="W5" s="6"/>
      <c r="X5" s="6"/>
      <c r="Y5" s="6"/>
      <c r="Z5" s="6"/>
      <c r="AA5" s="6"/>
      <c r="AB5" s="6"/>
    </row>
    <row r="6">
      <c r="A6" s="1"/>
      <c r="B6" s="10"/>
      <c r="C6" s="10"/>
      <c r="D6" s="10"/>
      <c r="E6" s="12"/>
      <c r="F6" s="10"/>
      <c r="G6" s="12"/>
      <c r="H6" s="13"/>
      <c r="I6" s="1"/>
      <c r="J6" s="9"/>
      <c r="K6" s="5"/>
      <c r="L6" s="6"/>
      <c r="M6" s="6"/>
      <c r="N6" s="6"/>
      <c r="O6" s="6"/>
      <c r="P6" s="6"/>
      <c r="Q6" s="6"/>
      <c r="R6" s="6"/>
      <c r="S6" s="6"/>
      <c r="T6" s="6"/>
      <c r="U6" s="6"/>
      <c r="V6" s="6"/>
      <c r="W6" s="6"/>
      <c r="X6" s="6"/>
      <c r="Y6" s="6"/>
      <c r="Z6" s="6"/>
      <c r="AA6" s="6"/>
      <c r="AB6" s="6"/>
    </row>
    <row r="7">
      <c r="A7" s="17"/>
      <c r="B7" s="18"/>
      <c r="C7" s="18"/>
      <c r="D7" s="18"/>
      <c r="E7" s="18"/>
      <c r="F7" s="18"/>
      <c r="G7" s="18"/>
      <c r="H7" s="18"/>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9" t="s">
        <v>17</v>
      </c>
      <c r="K8" s="19" t="s">
        <v>18</v>
      </c>
      <c r="L8" s="41" t="s">
        <v>19</v>
      </c>
      <c r="M8" s="20"/>
      <c r="N8" s="20"/>
      <c r="O8" s="20"/>
      <c r="P8" s="20"/>
      <c r="Q8" s="20"/>
      <c r="R8" s="20"/>
      <c r="S8" s="20"/>
      <c r="T8" s="20"/>
      <c r="U8" s="20"/>
      <c r="V8" s="20"/>
      <c r="W8" s="20"/>
      <c r="X8" s="20"/>
      <c r="Y8" s="20"/>
      <c r="Z8" s="20"/>
      <c r="AA8" s="20"/>
      <c r="AB8" s="20"/>
    </row>
    <row r="9">
      <c r="A9" s="21" t="s">
        <v>1125</v>
      </c>
      <c r="B9" s="22" t="s">
        <v>1126</v>
      </c>
      <c r="C9" s="23" t="str">
        <f>IFERROR(__xludf.DUMMYFUNCTION("GOOGLETRANSLATE(B9, ""en"", ""fr"")"),"Tuer les rats")</f>
        <v>Tuer les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""pt"")"),"Mate ratos")</f>
        <v>Mate ratos</v>
      </c>
      <c r="H9" s="24" t="str">
        <f>IFERROR(__xludf.DUMMYFUNCTION("GOOGLETRANSLATE(B9, ""en"", ""de"")"),"Töte Ratten")</f>
        <v>Töte Ratten</v>
      </c>
      <c r="I9" s="23" t="str">
        <f>IFERROR(__xludf.DUMMYFUNCTION("GOOGLETRANSLATE(B9, ""en"", ""pl"")"),"Zabij szczury")</f>
        <v>Zabij szczury</v>
      </c>
      <c r="J9" s="25" t="str">
        <f>IFERROR(__xludf.DUMMYFUNCTION("GOOGLETRANSLATE(B9, ""en"", ""zh"")"),"杀死老鼠")</f>
        <v>杀死老鼠</v>
      </c>
      <c r="K9" s="25" t="str">
        <f>IFERROR(__xludf.DUMMYFUNCTION("GOOGLETRANSLATE(B9, ""en"", ""vi"")"),"Giết chuột")</f>
        <v>Giết chuột</v>
      </c>
      <c r="L9" s="42" t="str">
        <f>IFERROR(__xludf.DUMMYFUNCTION("GOOGLETRANSLATE(B9, ""en"", ""hr"")"),"Ubiti štakore")</f>
        <v>Ubiti štakore</v>
      </c>
      <c r="M9" s="26"/>
      <c r="N9" s="26"/>
      <c r="O9" s="26"/>
      <c r="P9" s="26"/>
      <c r="Q9" s="26"/>
      <c r="R9" s="26"/>
      <c r="S9" s="26"/>
      <c r="T9" s="26"/>
      <c r="U9" s="26"/>
      <c r="V9" s="26"/>
      <c r="W9" s="26"/>
      <c r="X9" s="26"/>
      <c r="Y9" s="26"/>
      <c r="Z9" s="26"/>
      <c r="AA9" s="26"/>
      <c r="AB9" s="26"/>
    </row>
    <row r="10">
      <c r="A10" s="21" t="s">
        <v>1127</v>
      </c>
      <c r="B10" s="22" t="s">
        <v>1128</v>
      </c>
      <c r="C10" s="23" t="str">
        <f>IFERROR(__xludf.DUMMYFUNCTION("GOOGLETRANSLATE(B10, ""en"", ""fr"")"),"Tuer les chauves-souris")</f>
        <v>Tuer les chauves-souris</v>
      </c>
      <c r="D10" s="23" t="str">
        <f>IFERROR(__xludf.DUMMYFUNCTION("GOOGLETRANSLATE(B10, ""en"", ""es"")"),"Matar a los murciélagos")</f>
        <v>Matar a los murciélagos</v>
      </c>
      <c r="E10" s="23" t="str">
        <f>IFERROR(__xludf.DUMMYFUNCTION("GOOGLETRANSLATE(B10, ""en"", ""ru"")"),"Убить летучих мышей")</f>
        <v>Убить летучих мышей</v>
      </c>
      <c r="F10" s="23" t="str">
        <f>IFERROR(__xludf.DUMMYFUNCTION("GOOGLETRANSLATE(B10, ""en"", ""tr"")"),"Yarasaları öldür")</f>
        <v>Yarasaları öldür</v>
      </c>
      <c r="G10" s="23" t="str">
        <f>IFERROR(__xludf.DUMMYFUNCTION("GOOGLETRANSLATE(B10, ""en"", ""pt"")"),"Mate os morcegos")</f>
        <v>Mate os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42" t="str">
        <f>IFERROR(__xludf.DUMMYFUNCTION("GOOGLETRANSLATE(B10, ""en"", ""hr"")"),"Ubiti šišmiše")</f>
        <v>Ubiti šišmiše</v>
      </c>
      <c r="M10" s="26"/>
      <c r="N10" s="26"/>
      <c r="O10" s="26"/>
      <c r="P10" s="26"/>
      <c r="Q10" s="26"/>
      <c r="R10" s="26"/>
      <c r="S10" s="26"/>
      <c r="T10" s="26"/>
      <c r="U10" s="26"/>
      <c r="V10" s="26"/>
      <c r="W10" s="26"/>
      <c r="X10" s="26"/>
      <c r="Y10" s="26"/>
      <c r="Z10" s="26"/>
      <c r="AA10" s="26"/>
      <c r="AB10" s="26"/>
    </row>
    <row r="11">
      <c r="A11" s="21" t="s">
        <v>1129</v>
      </c>
      <c r="B11" s="22" t="s">
        <v>1130</v>
      </c>
      <c r="C11" s="23" t="str">
        <f>IFERROR(__xludf.DUMMYFUNCTION("GOOGLETRANSLATE(B11, ""en"", ""fr"")"),"Tuer les faucons")</f>
        <v>Tuer les faucons</v>
      </c>
      <c r="D11" s="23" t="str">
        <f>IFERROR(__xludf.DUMMYFUNCTION("GOOGLETRANSLATE(B11, ""en"", ""es"")"),"Matar halcones")</f>
        <v>Matar halcones</v>
      </c>
      <c r="E11" s="23" t="str">
        <f>IFERROR(__xludf.DUMMYFUNCTION("GOOGLETRANSLATE(B11, ""en"", ""ru"")"),"Убить ястребов")</f>
        <v>Убить ястребов</v>
      </c>
      <c r="F11" s="23" t="str">
        <f>IFERROR(__xludf.DUMMYFUNCTION("GOOGLETRANSLATE(B11, ""en"", ""tr"")"),"Kill Hawks")</f>
        <v>Kill Hawks</v>
      </c>
      <c r="G11" s="23" t="str">
        <f>IFERROR(__xludf.DUMMYFUNCTION("GOOGLETRANSLATE(B11, ""en"", ""pt"")"),"Mate Hawks")</f>
        <v>Mate Hawks</v>
      </c>
      <c r="H11" s="24" t="str">
        <f>IFERROR(__xludf.DUMMYFUNCTION("GOOGLETRANSLATE(B11, ""en"", ""de"")"),"Töte Hawks")</f>
        <v>Töte Hawks</v>
      </c>
      <c r="I11" s="23" t="str">
        <f>IFERROR(__xludf.DUMMYFUNCTION("GOOGLETRANSLATE(B11, ""en"", ""pl"")"),"Zabij jastrzębie")</f>
        <v>Zabij jastrzębie</v>
      </c>
      <c r="J11" s="25" t="str">
        <f>IFERROR(__xludf.DUMMYFUNCTION("GOOGLETRANSLATE(B11, ""en"", ""zh"")"),"杀死鹰")</f>
        <v>杀死鹰</v>
      </c>
      <c r="K11" s="25" t="str">
        <f>IFERROR(__xludf.DUMMYFUNCTION("GOOGLETRANSLATE(B11, ""en"", ""vi"")"),"Giết Hawks")</f>
        <v>Giết Hawks</v>
      </c>
      <c r="L11" s="42" t="str">
        <f>IFERROR(__xludf.DUMMYFUNCTION("GOOGLETRANSLATE(B11, ""en"", ""hr"")"),"Ubiti jastrebove")</f>
        <v>Ubiti jastrebove</v>
      </c>
      <c r="M11" s="26"/>
      <c r="N11" s="26"/>
      <c r="O11" s="26"/>
      <c r="P11" s="26"/>
      <c r="Q11" s="26"/>
      <c r="R11" s="26"/>
      <c r="S11" s="26"/>
      <c r="T11" s="26"/>
      <c r="U11" s="26"/>
      <c r="V11" s="26"/>
      <c r="W11" s="26"/>
      <c r="X11" s="26"/>
      <c r="Y11" s="26"/>
      <c r="Z11" s="26"/>
      <c r="AA11" s="26"/>
      <c r="AB11" s="26"/>
    </row>
    <row r="12">
      <c r="A12" s="21" t="s">
        <v>1131</v>
      </c>
      <c r="B12" s="22" t="s">
        <v>1132</v>
      </c>
      <c r="C12" s="23" t="str">
        <f>IFERROR(__xludf.DUMMYFUNCTION("GOOGLETRANSLATE(B12, ""en"", ""fr"")"),"Tuer des snoovirs")</f>
        <v>Tuer des snoovirs</v>
      </c>
      <c r="D12" s="23" t="str">
        <f>IFERROR(__xludf.DUMMYFUNCTION("GOOGLETRANSLATE(B12, ""en"", ""es"")"),"Matar snoovirs")</f>
        <v>Matar snoovirs</v>
      </c>
      <c r="E12" s="23" t="str">
        <f>IFERROR(__xludf.DUMMYFUNCTION("GOOGLETRANSLATE(B12, ""en"", ""ru"")"),"Убить Сновира")</f>
        <v>Убить Сновира</v>
      </c>
      <c r="F12" s="23" t="str">
        <f>IFERROR(__xludf.DUMMYFUNCTION("GOOGLETRANSLATE(B12, ""en"", ""tr"")"),"Snoovirs'i öldür")</f>
        <v>Snoovirs'i öldür</v>
      </c>
      <c r="G12" s="23" t="str">
        <f>IFERROR(__xludf.DUMMYFUNCTION("GOOGLETRANSLATE(B12, ""en"", ""pt"")"),"Mate Snoovirs")</f>
        <v>Mate Snoovirs</v>
      </c>
      <c r="H12" s="24" t="str">
        <f>IFERROR(__xludf.DUMMYFUNCTION("GOOGLETRANSLATE(B12, ""en"", ""de"")"),"Töte Snoovirs")</f>
        <v>Töte Snoovirs</v>
      </c>
      <c r="I12" s="23" t="str">
        <f>IFERROR(__xludf.DUMMYFUNCTION("GOOGLETRANSLATE(B12, ""en"", ""pl"")"),"Zabij snoowirów")</f>
        <v>Zabij snoowirów</v>
      </c>
      <c r="J12" s="25" t="str">
        <f>IFERROR(__xludf.DUMMYFUNCTION("GOOGLETRANSLATE(B12, ""en"", ""zh"")"),"杀死Snoovirs")</f>
        <v>杀死Snoovirs</v>
      </c>
      <c r="K12" s="25" t="str">
        <f>IFERROR(__xludf.DUMMYFUNCTION("GOOGLETRANSLATE(B12, ""en"", ""vi"")"),"Giết Snoovirs")</f>
        <v>Giết Snoovirs</v>
      </c>
      <c r="L12" s="42" t="str">
        <f>IFERROR(__xludf.DUMMYFUNCTION("GOOGLETRANSLATE(B12, ""en"", ""hr"")"),"Ubij Snoovirs")</f>
        <v>Ubij Snoovirs</v>
      </c>
      <c r="M12" s="26"/>
      <c r="N12" s="26"/>
      <c r="O12" s="26"/>
      <c r="P12" s="26"/>
      <c r="Q12" s="26"/>
      <c r="R12" s="26"/>
      <c r="S12" s="26"/>
      <c r="T12" s="26"/>
      <c r="U12" s="26"/>
      <c r="V12" s="26"/>
      <c r="W12" s="26"/>
      <c r="X12" s="26"/>
      <c r="Y12" s="26"/>
      <c r="Z12" s="26"/>
      <c r="AA12" s="26"/>
      <c r="AB12" s="26"/>
    </row>
    <row r="13">
      <c r="A13" s="21" t="s">
        <v>1133</v>
      </c>
      <c r="B13" s="22" t="s">
        <v>1134</v>
      </c>
      <c r="C13" s="23" t="str">
        <f>IFERROR(__xludf.DUMMYFUNCTION("GOOGLETRANSLATE(B13, ""en"", ""fr"")"),"Tuer des scamps")</f>
        <v>Tuer des scamps</v>
      </c>
      <c r="D13" s="23" t="str">
        <f>IFERROR(__xludf.DUMMYFUNCTION("GOOGLETRANSLATE(B13, ""en"", ""es"")"),"Matar scamps")</f>
        <v>Matar scamps</v>
      </c>
      <c r="E13" s="23" t="str">
        <f>IFERROR(__xludf.DUMMYFUNCTION("GOOGLETRANSLATE(B13, ""en"", ""ru"")"),"Убить мошенники")</f>
        <v>Убить мошенники</v>
      </c>
      <c r="F13" s="23" t="str">
        <f>IFERROR(__xludf.DUMMYFUNCTION("GOOGLETRANSLATE(B13, ""en"", ""tr"")"),"Scamps'ı öldür")</f>
        <v>Scamps'ı öldür</v>
      </c>
      <c r="G13" s="23" t="str">
        <f>IFERROR(__xludf.DUMMYFUNCTION("GOOGLETRANSLATE(B13, ""en"", ""pt"")"),"Mate scamps")</f>
        <v>Mate scamps</v>
      </c>
      <c r="H13" s="24" t="str">
        <f>IFERROR(__xludf.DUMMYFUNCTION("GOOGLETRANSLATE(B13, ""en"", ""de"")"),"Töte Scamps")</f>
        <v>Töte Scamps</v>
      </c>
      <c r="I13" s="23" t="str">
        <f>IFERROR(__xludf.DUMMYFUNCTION("GOOGLETRANSLATE(B13, ""en"", ""pl"")"),"Zabij łopatki")</f>
        <v>Zabij łopatki</v>
      </c>
      <c r="J13" s="25" t="str">
        <f>IFERROR(__xludf.DUMMYFUNCTION("GOOGLETRANSLATE(B13, ""en"", ""zh"")"),"杀死斯坎普")</f>
        <v>杀死斯坎普</v>
      </c>
      <c r="K13" s="25" t="str">
        <f>IFERROR(__xludf.DUMMYFUNCTION("GOOGLETRANSLATE(B13, ""en"", ""vi"")"),"Giết Scamp")</f>
        <v>Giết Scamp</v>
      </c>
      <c r="L13" s="42" t="str">
        <f>IFERROR(__xludf.DUMMYFUNCTION("GOOGLETRANSLATE(B13, ""en"", ""hr"")"),"Ubiti škampe")</f>
        <v>Ubiti škampe</v>
      </c>
      <c r="M13" s="26"/>
      <c r="N13" s="26"/>
      <c r="O13" s="26"/>
      <c r="P13" s="26"/>
      <c r="Q13" s="26"/>
      <c r="R13" s="26"/>
      <c r="S13" s="26"/>
      <c r="T13" s="26"/>
      <c r="U13" s="26"/>
      <c r="V13" s="26"/>
      <c r="W13" s="26"/>
      <c r="X13" s="26"/>
      <c r="Y13" s="26"/>
      <c r="Z13" s="26"/>
      <c r="AA13" s="26"/>
      <c r="AB13" s="26"/>
    </row>
    <row r="14">
      <c r="A14" s="21" t="s">
        <v>1135</v>
      </c>
      <c r="B14" s="22" t="s">
        <v>1136</v>
      </c>
      <c r="C14" s="23" t="str">
        <f>IFERROR(__xludf.DUMMYFUNCTION("GOOGLETRANSLATE(B14, ""en"", ""fr"")"),"Tuer des zombies")</f>
        <v>Tuer des zombies</v>
      </c>
      <c r="D14" s="23" t="str">
        <f>IFERROR(__xludf.DUMMYFUNCTION("GOOGLETRANSLATE(B14, ""en"", ""es"")"),"Matar zombies")</f>
        <v>Matar zombies</v>
      </c>
      <c r="E14" s="23" t="str">
        <f>IFERROR(__xludf.DUMMYFUNCTION("GOOGLETRANSLATE(B14, ""en"", ""ru"")"),"Убейте зомби")</f>
        <v>Убейте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""de"")"),"Zombies töte")</f>
        <v>Zombies töte</v>
      </c>
      <c r="I14" s="23" t="str">
        <f>IFERROR(__xludf.DUMMYFUNCTION("GOOGLETRANSLATE(B14, ""en"", ""pl"")"),"Zabić zombie")</f>
        <v>Zabić zombie</v>
      </c>
      <c r="J14" s="25" t="str">
        <f>IFERROR(__xludf.DUMMYFUNCTION("GOOGLETRANSLATE(B14, ""en"", ""zh"")"),"杀死僵尸")</f>
        <v>杀死僵尸</v>
      </c>
      <c r="K14" s="25" t="str">
        <f>IFERROR(__xludf.DUMMYFUNCTION("GOOGLETRANSLATE(B14, ""en"", ""vi"")"),"Giết zombie")</f>
        <v>Giết zombie</v>
      </c>
      <c r="L14" s="42" t="str">
        <f>IFERROR(__xludf.DUMMYFUNCTION("GOOGLETRANSLATE(B14, ""en"", ""hr"")"),"Ubiti zombije")</f>
        <v>Ubiti zombije</v>
      </c>
      <c r="M14" s="26"/>
      <c r="N14" s="26"/>
      <c r="O14" s="26"/>
      <c r="P14" s="26"/>
      <c r="Q14" s="26"/>
      <c r="R14" s="26"/>
      <c r="S14" s="26"/>
      <c r="T14" s="26"/>
      <c r="U14" s="26"/>
      <c r="V14" s="26"/>
      <c r="W14" s="26"/>
      <c r="X14" s="26"/>
      <c r="Y14" s="26"/>
      <c r="Z14" s="26"/>
      <c r="AA14" s="26"/>
      <c r="AB14" s="26"/>
    </row>
    <row r="15">
      <c r="A15" s="21" t="s">
        <v>1137</v>
      </c>
      <c r="B15" s="22" t="s">
        <v>1138</v>
      </c>
      <c r="C15" s="23" t="str">
        <f>IFERROR(__xludf.DUMMYFUNCTION("GOOGLETRANSLATE(B15, ""en"", ""fr"")"),"Tuer des vampires")</f>
        <v>Tuer des vampires</v>
      </c>
      <c r="D15" s="23" t="str">
        <f>IFERROR(__xludf.DUMMYFUNCTION("GOOGLETRANSLATE(B15, ""en"", ""es"")"),"Matar a los vampiros")</f>
        <v>Matar a los vampiros</v>
      </c>
      <c r="E15" s="23" t="str">
        <f>IFERROR(__xludf.DUMMYFUNCTION("GOOGLETRANSLATE(B15, ""en"", ""ru"")"),"Убить вампиров")</f>
        <v>Убить вампиров</v>
      </c>
      <c r="F15" s="23" t="str">
        <f>IFERROR(__xludf.DUMMYFUNCTION("GOOGLETRANSLATE(B15, ""en"", ""tr"")"),"Vampirleri Öldür")</f>
        <v>Vampirleri Öldür</v>
      </c>
      <c r="G15" s="23" t="str">
        <f>IFERROR(__xludf.DUMMYFUNCTION("GOOGLETRANSLATE(B15, ""en"", ""pt"")"),"Mate vampiros")</f>
        <v>Mate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42" t="str">
        <f>IFERROR(__xludf.DUMMYFUNCTION("GOOGLETRANSLATE(B15, ""en"", ""hr"")"),"Ubiti vampire")</f>
        <v>Ubiti vampire</v>
      </c>
      <c r="M15" s="26"/>
      <c r="N15" s="26"/>
      <c r="O15" s="26"/>
      <c r="P15" s="26"/>
      <c r="Q15" s="26"/>
      <c r="R15" s="26"/>
      <c r="S15" s="26"/>
      <c r="T15" s="26"/>
      <c r="U15" s="26"/>
      <c r="V15" s="26"/>
      <c r="W15" s="26"/>
      <c r="X15" s="26"/>
      <c r="Y15" s="26"/>
      <c r="Z15" s="26"/>
      <c r="AA15" s="26"/>
      <c r="AB15" s="26"/>
    </row>
    <row r="16">
      <c r="A16" s="21" t="s">
        <v>1139</v>
      </c>
      <c r="B16" s="22" t="s">
        <v>1140</v>
      </c>
      <c r="C16" s="23" t="str">
        <f>IFERROR(__xludf.DUMMYFUNCTION("GOOGLETRANSLATE(B16, ""en"", ""fr"")"),"Tuer les hors-la-loi")</f>
        <v>Tuer les hors-la-loi</v>
      </c>
      <c r="D16" s="23" t="str">
        <f>IFERROR(__xludf.DUMMYFUNCTION("GOOGLETRANSLATE(B16, ""en"", ""es"")"),"Matar a los forajidos")</f>
        <v>Matar a los forajidos</v>
      </c>
      <c r="E16" s="23" t="str">
        <f>IFERROR(__xludf.DUMMYFUNCTION("GOOGLETRANSLATE(B16, ""en"", ""ru"")"),"Убить вне закона")</f>
        <v>Убить вне закона</v>
      </c>
      <c r="F16" s="23" t="str">
        <f>IFERROR(__xludf.DUMMYFUNCTION("GOOGLETRANSLATE(B16, ""en"", ""tr"")"),"Outlaws'u öldür")</f>
        <v>Outlaws'u öldür</v>
      </c>
      <c r="G16" s="23" t="str">
        <f>IFERROR(__xludf.DUMMYFUNCTION("GOOGLETRANSLATE(B16, ""en"", ""pt"")"),"Mate os bandidos")</f>
        <v>Mate os bandidos</v>
      </c>
      <c r="H16" s="24" t="str">
        <f>IFERROR(__xludf.DUMMYFUNCTION("GOOGLETRANSLATE(B16, ""en"", ""de"")"),"Töte Outlaws")</f>
        <v>Töte Outlaws</v>
      </c>
      <c r="I16" s="23" t="str">
        <f>IFERROR(__xludf.DUMMYFUNCTION("GOOGLETRANSLATE(B16, ""en"", ""pl"")"),"Zabij banity")</f>
        <v>Zabij banity</v>
      </c>
      <c r="J16" s="25" t="str">
        <f>IFERROR(__xludf.DUMMYFUNCTION("GOOGLETRANSLATE(B16, ""en"", ""zh"")"),"杀死违法者")</f>
        <v>杀死违法者</v>
      </c>
      <c r="K16" s="25" t="str">
        <f>IFERROR(__xludf.DUMMYFUNCTION("GOOGLETRANSLATE(B16, ""en"", ""vi"")"),"Giết kẻ ngoài vòng pháp luật")</f>
        <v>Giết kẻ ngoài vòng pháp luật</v>
      </c>
      <c r="L16" s="42" t="str">
        <f>IFERROR(__xludf.DUMMYFUNCTION("GOOGLETRANSLATE(B16, ""en"", ""hr"")"),"Ubiti Outlaws")</f>
        <v>Ubiti Outlaws</v>
      </c>
      <c r="M16" s="26"/>
      <c r="N16" s="26"/>
      <c r="O16" s="26"/>
      <c r="P16" s="26"/>
      <c r="Q16" s="26"/>
      <c r="R16" s="26"/>
      <c r="S16" s="26"/>
      <c r="T16" s="26"/>
      <c r="U16" s="26"/>
      <c r="V16" s="26"/>
      <c r="W16" s="26"/>
      <c r="X16" s="26"/>
      <c r="Y16" s="26"/>
      <c r="Z16" s="26"/>
      <c r="AA16" s="26"/>
      <c r="AB16" s="26"/>
    </row>
    <row r="17">
      <c r="A17" s="21" t="s">
        <v>1141</v>
      </c>
      <c r="B17" s="22" t="s">
        <v>1142</v>
      </c>
      <c r="C17" s="23" t="str">
        <f>IFERROR(__xludf.DUMMYFUNCTION("GOOGLETRANSLATE(B17, ""en"", ""fr"")"),"Tuer des guerriers")</f>
        <v>Tuer des guerriers</v>
      </c>
      <c r="D17" s="23" t="str">
        <f>IFERROR(__xludf.DUMMYFUNCTION("GOOGLETRANSLATE(B17, ""en"", ""es"")"),"Mata a los guerreros")</f>
        <v>Mata a los guerreros</v>
      </c>
      <c r="E17" s="23" t="str">
        <f>IFERROR(__xludf.DUMMYFUNCTION("GOOGLETRANSLATE(B17, ""en"", ""ru"")"),"Убейте воинов")</f>
        <v>Убейте воинов</v>
      </c>
      <c r="F17" s="23" t="str">
        <f>IFERROR(__xludf.DUMMYFUNCTION("GOOGLETRANSLATE(B17, ""en"", ""tr"")"),"Savaşçıları Öldür")</f>
        <v>Savaşçıları Öldür</v>
      </c>
      <c r="G17" s="23" t="str">
        <f>IFERROR(__xludf.DUMMYFUNCTION("GOOGLETRANSLATE(B17, ""en"", ""pt"")"),"Mate guerreiros")</f>
        <v>Mate guerreiros</v>
      </c>
      <c r="H17" s="24" t="str">
        <f>IFERROR(__xludf.DUMMYFUNCTION("GOOGLETRANSLATE(B17, ""en"", ""de"")"),"Krieger töten")</f>
        <v>Krieger töten</v>
      </c>
      <c r="I17" s="23" t="str">
        <f>IFERROR(__xludf.DUMMYFUNCTION("GOOGLETRANSLATE(B17, ""en"", ""pl"")"),"Zabij wojowników")</f>
        <v>Zabij wojowników</v>
      </c>
      <c r="J17" s="25" t="str">
        <f>IFERROR(__xludf.DUMMYFUNCTION("GOOGLETRANSLATE(B17, ""en"", ""zh"")"),"杀死战士")</f>
        <v>杀死战士</v>
      </c>
      <c r="K17" s="25" t="str">
        <f>IFERROR(__xludf.DUMMYFUNCTION("GOOGLETRANSLATE(B17, ""en"", ""vi"")"),"Giết chiến binh")</f>
        <v>Giết chiến binh</v>
      </c>
      <c r="L17" s="42" t="str">
        <f>IFERROR(__xludf.DUMMYFUNCTION("GOOGLETRANSLATE(B17, ""en"", ""hr"")"),"Ubiti ratnike")</f>
        <v>Ubiti ratnike</v>
      </c>
      <c r="M17" s="26"/>
      <c r="N17" s="26"/>
      <c r="O17" s="26"/>
      <c r="P17" s="26"/>
      <c r="Q17" s="26"/>
      <c r="R17" s="26"/>
      <c r="S17" s="26"/>
      <c r="T17" s="26"/>
      <c r="U17" s="26"/>
      <c r="V17" s="26"/>
      <c r="W17" s="26"/>
      <c r="X17" s="26"/>
      <c r="Y17" s="26"/>
      <c r="Z17" s="26"/>
      <c r="AA17" s="26"/>
      <c r="AB17" s="26"/>
    </row>
    <row r="18">
      <c r="A18" s="21" t="s">
        <v>1143</v>
      </c>
      <c r="B18" s="22" t="s">
        <v>1144</v>
      </c>
      <c r="C18" s="23" t="str">
        <f>IFERROR(__xludf.DUMMYFUNCTION("GOOGLETRANSLATE(B18, ""en"", ""fr"")"),"Tuer les gobelins")</f>
        <v>Tuer les gobelins</v>
      </c>
      <c r="D18" s="23" t="str">
        <f>IFERROR(__xludf.DUMMYFUNCTION("GOOGLETRANSLATE(B18, ""en"", ""es"")"),"Matar a los duendes")</f>
        <v>Matar a los duendes</v>
      </c>
      <c r="E18" s="23" t="str">
        <f>IFERROR(__xludf.DUMMYFUNCTION("GOOGLETRANSLATE(B18, ""en"", ""ru"")"),"Убейте Гоблинов")</f>
        <v>Убейте Гоблинов</v>
      </c>
      <c r="F18" s="23" t="str">
        <f>IFERROR(__xludf.DUMMYFUNCTION("GOOGLETRANSLATE(B18, ""en"", ""tr"")"),"Goblinleri Öldür")</f>
        <v>Goblinleri Öldür</v>
      </c>
      <c r="G18" s="23" t="str">
        <f>IFERROR(__xludf.DUMMYFUNCTION("GOOGLETRANSLATE(B18, ""en"", ""pt"")"),"Mate goblins")</f>
        <v>Mate goblins</v>
      </c>
      <c r="H18" s="24" t="str">
        <f>IFERROR(__xludf.DUMMYFUNCTION("GOOGLETRANSLATE(B18, ""en"", ""de"")"),"Kill Goblins")</f>
        <v>Kill Goblins</v>
      </c>
      <c r="I18" s="23" t="str">
        <f>IFERROR(__xludf.DUMMYFUNCTION("GOOGLETRANSLATE(B18, ""en"", ""pl"")"),"Zabij gobliny")</f>
        <v>Zabij gobliny</v>
      </c>
      <c r="J18" s="25" t="str">
        <f>IFERROR(__xludf.DUMMYFUNCTION("GOOGLETRANSLATE(B18, ""en"", ""zh"")"),"杀死妖精")</f>
        <v>杀死妖精</v>
      </c>
      <c r="K18" s="25" t="str">
        <f>IFERROR(__xludf.DUMMYFUNCTION("GOOGLETRANSLATE(B18, ""en"", ""vi"")"),"Giết yêu tinh")</f>
        <v>Giết yêu tinh</v>
      </c>
      <c r="L18" s="42" t="str">
        <f>IFERROR(__xludf.DUMMYFUNCTION("GOOGLETRANSLATE(B18, ""en"", ""hr"")"),"Ubij gobline")</f>
        <v>Ubij gobline</v>
      </c>
      <c r="M18" s="26"/>
      <c r="N18" s="26"/>
      <c r="O18" s="26"/>
      <c r="P18" s="26"/>
      <c r="Q18" s="26"/>
      <c r="R18" s="26"/>
      <c r="S18" s="26"/>
      <c r="T18" s="26"/>
      <c r="U18" s="26"/>
      <c r="V18" s="26"/>
      <c r="W18" s="26"/>
      <c r="X18" s="26"/>
      <c r="Y18" s="26"/>
      <c r="Z18" s="26"/>
      <c r="AA18" s="26"/>
      <c r="AB18" s="26"/>
    </row>
    <row r="19">
      <c r="A19" s="21" t="s">
        <v>1145</v>
      </c>
      <c r="B19" s="22" t="s">
        <v>1146</v>
      </c>
      <c r="C19" s="23" t="str">
        <f>IFERROR(__xludf.DUMMYFUNCTION("GOOGLETRANSLATE(B19, ""en"", ""fr"")"),"Tuer les nacs")</f>
        <v>Tuer les nacs</v>
      </c>
      <c r="D19" s="23" t="str">
        <f>IFERROR(__xludf.DUMMYFUNCTION("GOOGLETRANSLATE(B19, ""en"", ""es"")"),"Mata a Gnarls")</f>
        <v>Mata a Gnarls</v>
      </c>
      <c r="E19" s="23" t="str">
        <f>IFERROR(__xludf.DUMMYFUNCTION("GOOGLETRANSLATE(B19, ""en"", ""ru"")"),"Убейте гнарл")</f>
        <v>Убейте гнарл</v>
      </c>
      <c r="F19" s="23" t="str">
        <f>IFERROR(__xludf.DUMMYFUNCTION("GOOGLETRANSLATE(B19, ""en"", ""tr"")"),"Gnarls'ı öldür")</f>
        <v>Gnarls'ı öldür</v>
      </c>
      <c r="G19" s="23" t="str">
        <f>IFERROR(__xludf.DUMMYFUNCTION("GOOGLETRANSLATE(B19, ""en"", ""pt"")"),"Mate os gnarls")</f>
        <v>Mate os gnarls</v>
      </c>
      <c r="H19" s="24" t="str">
        <f>IFERROR(__xludf.DUMMYFUNCTION("GOOGLETRANSLATE(B19, ""en"", ""de"")"),"Töte Gnarls")</f>
        <v>Töte Gnarls</v>
      </c>
      <c r="I19" s="23" t="str">
        <f>IFERROR(__xludf.DUMMYFUNCTION("GOOGLETRANSLATE(B19, ""en"", ""pl"")"),"Zabij gnarl")</f>
        <v>Zabij gnarl</v>
      </c>
      <c r="J19" s="25" t="str">
        <f>IFERROR(__xludf.DUMMYFUNCTION("GOOGLETRANSLATE(B19, ""en"", ""zh"")"),"杀死gnarls")</f>
        <v>杀死gnarls</v>
      </c>
      <c r="K19" s="25" t="str">
        <f>IFERROR(__xludf.DUMMYFUNCTION("GOOGLETRANSLATE(B19, ""en"", ""vi"")"),"Giết Gnarls")</f>
        <v>Giết Gnarls</v>
      </c>
      <c r="L19" s="42" t="str">
        <f>IFERROR(__xludf.DUMMYFUNCTION("GOOGLETRANSLATE(B19, ""en"", ""hr"")"),"Ubiti gnarls")</f>
        <v>Ubiti gnarls</v>
      </c>
      <c r="M19" s="26"/>
      <c r="N19" s="26"/>
      <c r="O19" s="26"/>
      <c r="P19" s="26"/>
      <c r="Q19" s="26"/>
      <c r="R19" s="26"/>
      <c r="S19" s="26"/>
      <c r="T19" s="26"/>
      <c r="U19" s="26"/>
      <c r="V19" s="26"/>
      <c r="W19" s="26"/>
      <c r="X19" s="26"/>
      <c r="Y19" s="26"/>
      <c r="Z19" s="26"/>
      <c r="AA19" s="26"/>
      <c r="AB19" s="26"/>
    </row>
    <row r="20">
      <c r="A20" s="21" t="s">
        <v>1147</v>
      </c>
      <c r="B20" s="22" t="s">
        <v>1148</v>
      </c>
      <c r="C20" s="23" t="str">
        <f>IFERROR(__xludf.DUMMYFUNCTION("GOOGLETRANSLATE(B20, ""en"", ""fr"")"),"Tuer les golems")</f>
        <v>Tuer les golems</v>
      </c>
      <c r="D20" s="23" t="str">
        <f>IFERROR(__xludf.DUMMYFUNCTION("GOOGLETRANSLATE(B20, ""en"", ""es"")"),"Matar golems")</f>
        <v>Matar golems</v>
      </c>
      <c r="E20" s="23" t="str">
        <f>IFERROR(__xludf.DUMMYFUNCTION("GOOGLETRANSLATE(B20, ""en"", ""ru"")"),"Убить голема")</f>
        <v>Убить голема</v>
      </c>
      <c r="F20" s="23" t="str">
        <f>IFERROR(__xludf.DUMMYFUNCTION("GOOGLETRANSLATE(B20, ""en"", ""tr"")"),"Golemleri Öldür")</f>
        <v>Golemleri Öldür</v>
      </c>
      <c r="G20" s="23" t="str">
        <f>IFERROR(__xludf.DUMMYFUNCTION("GOOGLETRANSLATE(B20, ""en"", ""pt"")"),"Mate Golems")</f>
        <v>Mate Golems</v>
      </c>
      <c r="H20" s="24" t="str">
        <f>IFERROR(__xludf.DUMMYFUNCTION("GOOGLETRANSLATE(B20, ""en"", ""de"")"),"Töte Golems")</f>
        <v>Töte Golems</v>
      </c>
      <c r="I20" s="23" t="str">
        <f>IFERROR(__xludf.DUMMYFUNCTION("GOOGLETRANSLATE(B20, ""en"", ""pl"")"),"Zabij golems")</f>
        <v>Zabij golems</v>
      </c>
      <c r="J20" s="25" t="str">
        <f>IFERROR(__xludf.DUMMYFUNCTION("GOOGLETRANSLATE(B20, ""en"", ""zh"")"),"杀死魔像")</f>
        <v>杀死魔像</v>
      </c>
      <c r="K20" s="25" t="str">
        <f>IFERROR(__xludf.DUMMYFUNCTION("GOOGLETRANSLATE(B20, ""en"", ""vi"")"),"Giết Golems")</f>
        <v>Giết Golems</v>
      </c>
      <c r="L20" s="42" t="str">
        <f>IFERROR(__xludf.DUMMYFUNCTION("GOOGLETRANSLATE(B20, ""en"", ""hr"")"),"Ubiti goleme")</f>
        <v>Ubiti goleme</v>
      </c>
      <c r="M20" s="26"/>
      <c r="N20" s="26"/>
      <c r="O20" s="26"/>
      <c r="P20" s="26"/>
      <c r="Q20" s="26"/>
      <c r="R20" s="26"/>
      <c r="S20" s="26"/>
      <c r="T20" s="26"/>
      <c r="U20" s="26"/>
      <c r="V20" s="26"/>
      <c r="W20" s="26"/>
      <c r="X20" s="26"/>
      <c r="Y20" s="26"/>
      <c r="Z20" s="26"/>
      <c r="AA20" s="26"/>
      <c r="AB20" s="26"/>
    </row>
    <row r="21">
      <c r="A21" s="21" t="s">
        <v>1149</v>
      </c>
      <c r="B21" s="22" t="s">
        <v>1150</v>
      </c>
      <c r="C21" s="23" t="str">
        <f>IFERROR(__xludf.DUMMYFUNCTION("GOOGLETRANSLATE(B21, ""en"", ""fr"")"),"Tuer les adombraux")</f>
        <v>Tuer les adombraux</v>
      </c>
      <c r="D21" s="23" t="str">
        <f>IFERROR(__xludf.DUMMYFUNCTION("GOOGLETRANSLATE(B21, ""en"", ""es"")"),"Mata a los adumbrales")</f>
        <v>Mata a los adumbrales</v>
      </c>
      <c r="E21" s="23" t="str">
        <f>IFERROR(__xludf.DUMMYFUNCTION("GOOGLETRANSLATE(B21, ""en"", ""ru"")"),"Убейте адумбла")</f>
        <v>Убейте адумбла</v>
      </c>
      <c r="F21" s="23" t="str">
        <f>IFERROR(__xludf.DUMMYFUNCTION("GOOGLETRANSLATE(B21, ""en"", ""tr"")"),"Adumbralları Öldür")</f>
        <v>Adumbralları Öldür</v>
      </c>
      <c r="G21" s="23" t="str">
        <f>IFERROR(__xludf.DUMMYFUNCTION("GOOGLETRANSLATE(B21, ""en"", ""pt"")"),"Mate os Adumbrais")</f>
        <v>Mate os Adumbrais</v>
      </c>
      <c r="H21" s="24" t="str">
        <f>IFERROR(__xludf.DUMMYFUNCTION("GOOGLETRANSLATE(B21, ""en"", ""de"")"),"Töte Adelbral")</f>
        <v>Töte Adelbral</v>
      </c>
      <c r="I21" s="23" t="str">
        <f>IFERROR(__xludf.DUMMYFUNCTION("GOOGLETRANSLATE(B21, ""en"", ""pl"")"),"Zabij szum")</f>
        <v>Zabij szum</v>
      </c>
      <c r="J21" s="25" t="str">
        <f>IFERROR(__xludf.DUMMYFUNCTION("GOOGLETRANSLATE(B21, ""en"", ""zh"")"),"杀死adumbrals")</f>
        <v>杀死adumbrals</v>
      </c>
      <c r="K21" s="25" t="str">
        <f>IFERROR(__xludf.DUMMYFUNCTION("GOOGLETRANSLATE(B21, ""en"", ""vi"")"),"Giết adumbrals")</f>
        <v>Giết adumbrals</v>
      </c>
      <c r="L21" s="42" t="str">
        <f>IFERROR(__xludf.DUMMYFUNCTION("GOOGLETRANSLATE(B21, ""en"", ""hr"")"),"Ubiti adumbrals")</f>
        <v>Ubiti adumbrals</v>
      </c>
      <c r="M21" s="26"/>
      <c r="N21" s="26"/>
      <c r="O21" s="26"/>
      <c r="P21" s="26"/>
      <c r="Q21" s="26"/>
      <c r="R21" s="26"/>
      <c r="S21" s="26"/>
      <c r="T21" s="26"/>
      <c r="U21" s="26"/>
      <c r="V21" s="26"/>
      <c r="W21" s="26"/>
      <c r="X21" s="26"/>
      <c r="Y21" s="26"/>
      <c r="Z21" s="26"/>
      <c r="AA21" s="26"/>
      <c r="AB21" s="26"/>
    </row>
    <row r="22">
      <c r="A22" s="21" t="s">
        <v>1151</v>
      </c>
      <c r="B22" s="22" t="s">
        <v>1152</v>
      </c>
      <c r="C22" s="23" t="str">
        <f>IFERROR(__xludf.DUMMYFUNCTION("GOOGLETRANSLATE(B22, ""en"", ""fr"")"),"Coton de récolte")</f>
        <v>Coton de récolte</v>
      </c>
      <c r="D22" s="23" t="str">
        <f>IFERROR(__xludf.DUMMYFUNCTION("GOOGLETRANSLATE(B22, ""en"", ""es"")"),"Cosecha de algodón")</f>
        <v>Cosecha de algodón</v>
      </c>
      <c r="E22" s="23" t="str">
        <f>IFERROR(__xludf.DUMMYFUNCTION("GOOGLETRANSLATE(B22, ""en"", ""ru"")"),"Урожай хлопок")</f>
        <v>Урожай хлопок</v>
      </c>
      <c r="F22" s="23" t="str">
        <f>IFERROR(__xludf.DUMMYFUNCTION("GOOGLETRANSLATE(B22, ""en"", ""tr"")"),"Hasat pamuk")</f>
        <v>Hasat pamuk</v>
      </c>
      <c r="G22" s="23" t="str">
        <f>IFERROR(__xludf.DUMMYFUNCTION("GOOGLETRANSLATE(B22, ""en"", ""pt"")"),"Colheita de algodão")</f>
        <v>Colheita de algodão</v>
      </c>
      <c r="H22" s="24" t="str">
        <f>IFERROR(__xludf.DUMMYFUNCTION("GOOGLETRANSLATE(B22, ""en"", ""de"")"),"Ernte Baumwolle")</f>
        <v>Ernte Baumwolle</v>
      </c>
      <c r="I22" s="23" t="str">
        <f>IFERROR(__xludf.DUMMYFUNCTION("GOOGLETRANSLATE(B22, ""en"", ""pl"")"),"Zbiór bawełny")</f>
        <v>Zbiór bawełny</v>
      </c>
      <c r="J22" s="25" t="str">
        <f>IFERROR(__xludf.DUMMYFUNCTION("GOOGLETRANSLATE(B22, ""en"", ""zh"")"),"收获棉花")</f>
        <v>收获棉花</v>
      </c>
      <c r="K22" s="25" t="str">
        <f>IFERROR(__xludf.DUMMYFUNCTION("GOOGLETRANSLATE(B22, ""en"", ""vi"")"),"Thu hoạch bông")</f>
        <v>Thu hoạch bông</v>
      </c>
      <c r="L22" s="42" t="str">
        <f>IFERROR(__xludf.DUMMYFUNCTION("GOOGLETRANSLATE(B22, ""en"", ""hr"")"),"Žetva pamuka")</f>
        <v>Žetva pamuka</v>
      </c>
      <c r="M22" s="26"/>
      <c r="N22" s="26"/>
      <c r="O22" s="26"/>
      <c r="P22" s="26"/>
      <c r="Q22" s="26"/>
      <c r="R22" s="26"/>
      <c r="S22" s="26"/>
      <c r="T22" s="26"/>
      <c r="U22" s="26"/>
      <c r="V22" s="26"/>
      <c r="W22" s="26"/>
      <c r="X22" s="26"/>
      <c r="Y22" s="26"/>
      <c r="Z22" s="26"/>
      <c r="AA22" s="26"/>
      <c r="AB22" s="26"/>
    </row>
    <row r="23">
      <c r="A23" s="21" t="s">
        <v>1153</v>
      </c>
      <c r="B23" s="22" t="s">
        <v>1154</v>
      </c>
      <c r="C23" s="23" t="str">
        <f>IFERROR(__xludf.DUMMYFUNCTION("GOOGLETRANSLATE(B23, ""en"", ""fr"")"),"Récolte redcaps")</f>
        <v>Récolte redcaps</v>
      </c>
      <c r="D23" s="23" t="str">
        <f>IFERROR(__xludf.DUMMYFUNCTION("GOOGLETRANSLATE(B23, ""en"", ""es"")"),"Cosecha")</f>
        <v>Cosecha</v>
      </c>
      <c r="E23" s="23" t="str">
        <f>IFERROR(__xludf.DUMMYFUNCTION("GOOGLETRANSLATE(B23, ""en"", ""ru"")"),"Урожай Redcaps")</f>
        <v>Урожай Redcaps</v>
      </c>
      <c r="F23" s="23" t="str">
        <f>IFERROR(__xludf.DUMMYFUNCTION("GOOGLETRANSLATE(B23, ""en"", ""tr"")"),"Hasat Redcaps")</f>
        <v>Hasat Redcaps</v>
      </c>
      <c r="G23" s="23" t="str">
        <f>IFERROR(__xludf.DUMMYFUNCTION("GOOGLETRANSLATE(B23, ""en"", ""pt"")"),"Colheu Redcaps")</f>
        <v>Colheu Redcaps</v>
      </c>
      <c r="H23" s="24" t="str">
        <f>IFERROR(__xludf.DUMMYFUNCTION("GOOGLETRANSLATE(B23, ""en"", ""de"")"),"Ernte Redcaps")</f>
        <v>Ernte Redcaps</v>
      </c>
      <c r="I23" s="23" t="str">
        <f>IFERROR(__xludf.DUMMYFUNCTION("GOOGLETRANSLATE(B23, ""en"", ""pl"")"),"Redcaps zbioru")</f>
        <v>Redcaps zbioru</v>
      </c>
      <c r="J23" s="25" t="str">
        <f>IFERROR(__xludf.DUMMYFUNCTION("GOOGLETRANSLATE(B23, ""en"", ""zh"")"),"收获红帽")</f>
        <v>收获红帽</v>
      </c>
      <c r="K23" s="25" t="str">
        <f>IFERROR(__xludf.DUMMYFUNCTION("GOOGLETRANSLATE(B23, ""en"", ""vi"")"),"Thu hoạch redcaps")</f>
        <v>Thu hoạch redcaps</v>
      </c>
      <c r="L23" s="42" t="str">
        <f>IFERROR(__xludf.DUMMYFUNCTION("GOOGLETRANSLATE(B23, ""en"", ""hr"")"),"BERBER REDCAPS")</f>
        <v>BERBER REDCAPS</v>
      </c>
      <c r="M23" s="26"/>
      <c r="N23" s="26"/>
      <c r="O23" s="26"/>
      <c r="P23" s="26"/>
      <c r="Q23" s="26"/>
      <c r="R23" s="26"/>
      <c r="S23" s="26"/>
      <c r="T23" s="26"/>
      <c r="U23" s="26"/>
      <c r="V23" s="26"/>
      <c r="W23" s="26"/>
      <c r="X23" s="26"/>
      <c r="Y23" s="26"/>
      <c r="Z23" s="26"/>
      <c r="AA23" s="26"/>
      <c r="AB23" s="26"/>
    </row>
    <row r="24">
      <c r="A24" s="21" t="s">
        <v>1155</v>
      </c>
      <c r="B24" s="22" t="s">
        <v>1156</v>
      </c>
      <c r="C24" s="23" t="str">
        <f>IFERROR(__xludf.DUMMYFUNCTION("GOOGLETRANSLATE(B24, ""en"", ""fr"")"),"Récolter des cassettes")</f>
        <v>Récolter des cassettes</v>
      </c>
      <c r="D24" s="23" t="str">
        <f>IFERROR(__xludf.DUMMYFUNCTION("GOOGLETRANSLATE(B24, ""en"", ""es"")"),"Cosecha Greencaps")</f>
        <v>Cosecha Greencaps</v>
      </c>
      <c r="E24" s="23" t="str">
        <f>IFERROR(__xludf.DUMMYFUNCTION("GOOGLETRANSLATE(B24, ""en"", ""ru"")"),"Урожай Greencaps")</f>
        <v>Урожай Greencaps</v>
      </c>
      <c r="F24" s="23" t="str">
        <f>IFERROR(__xludf.DUMMYFUNCTION("GOOGLETRANSLATE(B24, ""en"", ""tr"")"),"Hasat Greencaps")</f>
        <v>Hasat Greencaps</v>
      </c>
      <c r="G24" s="23" t="str">
        <f>IFERROR(__xludf.DUMMYFUNCTION("GOOGLETRANSLATE(B24, ""en"", ""pt"")"),"Harvest Greencaps")</f>
        <v>Harvest Greencaps</v>
      </c>
      <c r="H24" s="24" t="str">
        <f>IFERROR(__xludf.DUMMYFUNCTION("GOOGLETRANSLATE(B24, ""en"", ""de"")"),"Ernte -Greencaps")</f>
        <v>Ernte -Greencaps</v>
      </c>
      <c r="I24" s="23" t="str">
        <f>IFERROR(__xludf.DUMMYFUNCTION("GOOGLETRANSLATE(B24, ""en"", ""pl"")"),"Zbiór Greencaps")</f>
        <v>Zbiór Greencaps</v>
      </c>
      <c r="J24" s="25" t="str">
        <f>IFERROR(__xludf.DUMMYFUNCTION("GOOGLETRANSLATE(B24, ""en"", ""zh"")"),"收获Greencaps")</f>
        <v>收获Greencaps</v>
      </c>
      <c r="K24" s="25" t="str">
        <f>IFERROR(__xludf.DUMMYFUNCTION("GOOGLETRANSLATE(B24, ""en"", ""vi"")"),"Thu hoạch Greencaps")</f>
        <v>Thu hoạch Greencaps</v>
      </c>
      <c r="L24" s="42" t="str">
        <f>IFERROR(__xludf.DUMMYFUNCTION("GOOGLETRANSLATE(B24, ""en"", ""hr"")"),"Berba greenkaps")</f>
        <v>Berba greenkaps</v>
      </c>
      <c r="M24" s="26"/>
      <c r="N24" s="26"/>
      <c r="O24" s="26"/>
      <c r="P24" s="26"/>
      <c r="Q24" s="26"/>
      <c r="R24" s="26"/>
      <c r="S24" s="26"/>
      <c r="T24" s="26"/>
      <c r="U24" s="26"/>
      <c r="V24" s="26"/>
      <c r="W24" s="26"/>
      <c r="X24" s="26"/>
      <c r="Y24" s="26"/>
      <c r="Z24" s="26"/>
      <c r="AA24" s="26"/>
      <c r="AB24" s="26"/>
    </row>
    <row r="25">
      <c r="A25" s="21" t="s">
        <v>1157</v>
      </c>
      <c r="B25" s="22" t="s">
        <v>1158</v>
      </c>
      <c r="C25" s="23" t="str">
        <f>IFERROR(__xludf.DUMMYFUNCTION("GOOGLETRANSLATE(B25, ""en"", ""fr"")"),"Récolte bluecaps")</f>
        <v>Récolte bluecaps</v>
      </c>
      <c r="D25" s="23" t="str">
        <f>IFERROR(__xludf.DUMMYFUNCTION("GOOGLETRANSLATE(B25, ""en"", ""es"")"),"Cosecha bluecaps")</f>
        <v>Cosecha bluecaps</v>
      </c>
      <c r="E25" s="23" t="str">
        <f>IFERROR(__xludf.DUMMYFUNCTION("GOOGLETRANSLATE(B25, ""en"", ""ru"")"),"Урожай Bluecaps")</f>
        <v>Урожай Bluecaps</v>
      </c>
      <c r="F25" s="23" t="str">
        <f>IFERROR(__xludf.DUMMYFUNCTION("GOOGLETRANSLATE(B25, ""en"", ""tr"")"),"Hasat BlueCaps")</f>
        <v>Hasat BlueCaps</v>
      </c>
      <c r="G25" s="23" t="str">
        <f>IFERROR(__xludf.DUMMYFUNCTION("GOOGLETRANSLATE(B25, ""en"", ""pt"")"),"Harvest Bluecaps")</f>
        <v>Harvest Bluecaps</v>
      </c>
      <c r="H25" s="24" t="str">
        <f>IFERROR(__xludf.DUMMYFUNCTION("GOOGLETRANSLATE(B25, ""en"", ""de"")"),"Ernte -Bluecaps")</f>
        <v>Ernte -Bluecaps</v>
      </c>
      <c r="I25" s="23" t="str">
        <f>IFERROR(__xludf.DUMMYFUNCTION("GOOGLETRANSLATE(B25, ""en"", ""pl"")"),"Zbiór BlueCaps")</f>
        <v>Zbiór BlueCaps</v>
      </c>
      <c r="J25" s="25" t="str">
        <f>IFERROR(__xludf.DUMMYFUNCTION("GOOGLETRANSLATE(B25, ""en"", ""zh"")"),"收获蓝调")</f>
        <v>收获蓝调</v>
      </c>
      <c r="K25" s="25" t="str">
        <f>IFERROR(__xludf.DUMMYFUNCTION("GOOGLETRANSLATE(B25, ""en"", ""vi"")"),"Thu hoạch bluecaps")</f>
        <v>Thu hoạch bluecaps</v>
      </c>
      <c r="L25" s="42" t="str">
        <f>IFERROR(__xludf.DUMMYFUNCTION("GOOGLETRANSLATE(B25, ""en"", ""hr"")"),"Berba bluecaps")</f>
        <v>Berba bluecaps</v>
      </c>
      <c r="M25" s="26"/>
      <c r="N25" s="26"/>
      <c r="O25" s="26"/>
      <c r="P25" s="26"/>
      <c r="Q25" s="26"/>
      <c r="R25" s="26"/>
      <c r="S25" s="26"/>
      <c r="T25" s="26"/>
      <c r="U25" s="26"/>
      <c r="V25" s="26"/>
      <c r="W25" s="26"/>
      <c r="X25" s="26"/>
      <c r="Y25" s="26"/>
      <c r="Z25" s="26"/>
      <c r="AA25" s="26"/>
      <c r="AB25" s="26"/>
    </row>
    <row r="26">
      <c r="A26" s="21" t="s">
        <v>1159</v>
      </c>
      <c r="B26" s="22" t="s">
        <v>1160</v>
      </c>
      <c r="C26" s="23" t="str">
        <f>IFERROR(__xludf.DUMMYFUNCTION("GOOGLETRANSLATE(B26, ""en"", ""fr"")"),"Récolter les gel")</f>
        <v>Récolter les gel</v>
      </c>
      <c r="D26" s="23" t="str">
        <f>IFERROR(__xludf.DUMMYFUNCTION("GOOGLETRANSLATE(B26, ""en"", ""es"")"),"Cosecha de congelación")</f>
        <v>Cosecha de congelación</v>
      </c>
      <c r="E26" s="23" t="str">
        <f>IFERROR(__xludf.DUMMYFUNCTION("GOOGLETRANSLATE(B26, ""en"", ""ru"")"),"Урожай Frostcaps")</f>
        <v>Урожай Frostcaps</v>
      </c>
      <c r="F26" s="23" t="str">
        <f>IFERROR(__xludf.DUMMYFUNCTION("GOOGLETRANSLATE(B26, ""en"", ""tr"")"),"Hasat Frostcaps")</f>
        <v>Hasat Frostcaps</v>
      </c>
      <c r="G26" s="23" t="str">
        <f>IFERROR(__xludf.DUMMYFUNCTION("GOOGLETRANSLATE(B26, ""en"", ""pt"")"),"Colheita frostcaps")</f>
        <v>Colheita frostcaps</v>
      </c>
      <c r="H26" s="24" t="str">
        <f>IFERROR(__xludf.DUMMYFUNCTION("GOOGLETRANSLATE(B26, ""en"", ""de"")"),"Ernten Frostcaps")</f>
        <v>Ernten Frostcaps</v>
      </c>
      <c r="I26" s="23" t="str">
        <f>IFERROR(__xludf.DUMMYFUNCTION("GOOGLETRANSLATE(B26, ""en"", ""pl"")"),"Zbiór mrozów")</f>
        <v>Zbiór mrozów</v>
      </c>
      <c r="J26" s="25" t="str">
        <f>IFERROR(__xludf.DUMMYFUNCTION("GOOGLETRANSLATE(B26, ""en"", ""zh"")"),"收获霜冻")</f>
        <v>收获霜冻</v>
      </c>
      <c r="K26" s="25" t="str">
        <f>IFERROR(__xludf.DUMMYFUNCTION("GOOGLETRANSLATE(B26, ""en"", ""vi"")"),"Thu hoạch băng giá")</f>
        <v>Thu hoạch băng giá</v>
      </c>
      <c r="L26" s="42" t="str">
        <f>IFERROR(__xludf.DUMMYFUNCTION("GOOGLETRANSLATE(B26, ""en"", ""hr"")"),"Berbe Frostcaps")</f>
        <v>Berbe Frostcaps</v>
      </c>
      <c r="M26" s="26"/>
      <c r="N26" s="26"/>
      <c r="O26" s="26"/>
      <c r="P26" s="26"/>
      <c r="Q26" s="26"/>
      <c r="R26" s="26"/>
      <c r="S26" s="26"/>
      <c r="T26" s="26"/>
      <c r="U26" s="26"/>
      <c r="V26" s="26"/>
      <c r="W26" s="26"/>
      <c r="X26" s="26"/>
      <c r="Y26" s="26"/>
      <c r="Z26" s="26"/>
      <c r="AA26" s="26"/>
      <c r="AB26" s="26"/>
    </row>
    <row r="27">
      <c r="A27" s="21" t="s">
        <v>1161</v>
      </c>
      <c r="B27" s="22" t="s">
        <v>1162</v>
      </c>
      <c r="C27" s="23" t="str">
        <f>IFERROR(__xludf.DUMMYFUNCTION("GOOGLETRANSLATE(B27, ""en"", ""fr"")"),"Hacher les pins")</f>
        <v>Hacher les pins</v>
      </c>
      <c r="D27" s="23" t="str">
        <f>IFERROR(__xludf.DUMMYFUNCTION("GOOGLETRANSLATE(B27, ""en"", ""es"")"),"Picares de pino")</f>
        <v>Picares de pino</v>
      </c>
      <c r="E27" s="23" t="str">
        <f>IFERROR(__xludf.DUMMYFUNCTION("GOOGLETRANSLATE(B27, ""en"", ""ru"")"),"Нарезать сосны")</f>
        <v>Нарезать сосны</v>
      </c>
      <c r="F27" s="23" t="str">
        <f>IFERROR(__xludf.DUMMYFUNCTION("GOOGLETRANSLATE(B27, ""en"", ""tr"")"),"Çam ağaçlarını doğramak")</f>
        <v>Çam ağaçlarını doğramak</v>
      </c>
      <c r="G27" s="23" t="str">
        <f>IFERROR(__xludf.DUMMYFUNCTION("GOOGLETRANSLATE(B27, ""en"", ""pt"")"),"Pique os pinheiros")</f>
        <v>Pique os pinheiros</v>
      </c>
      <c r="H27" s="24" t="str">
        <f>IFERROR(__xludf.DUMMYFUNCTION("GOOGLETRANSLATE(B27, ""en"", ""de"")"),"Kiefernbäume hacken")</f>
        <v>Kiefernbäume hacken</v>
      </c>
      <c r="I27" s="23" t="str">
        <f>IFERROR(__xludf.DUMMYFUNCTION("GOOGLETRANSLATE(B27, ""en"", ""pl"")"),"Posiekaj sosny")</f>
        <v>Posiekaj sosny</v>
      </c>
      <c r="J27" s="25" t="str">
        <f>IFERROR(__xludf.DUMMYFUNCTION("GOOGLETRANSLATE(B27, ""en"", ""zh"")"),"切成松树")</f>
        <v>切成松树</v>
      </c>
      <c r="K27" s="25" t="str">
        <f>IFERROR(__xludf.DUMMYFUNCTION("GOOGLETRANSLATE(B27, ""en"", ""vi"")"),"Cây thông xắt")</f>
        <v>Cây thông xắt</v>
      </c>
      <c r="L27" s="42" t="str">
        <f>IFERROR(__xludf.DUMMYFUNCTION("GOOGLETRANSLATE(B27, ""en"", ""hr"")"),"Nasjeckajte borove")</f>
        <v>Nasjeckajte borove</v>
      </c>
      <c r="M27" s="26"/>
      <c r="N27" s="26"/>
      <c r="O27" s="26"/>
      <c r="P27" s="26"/>
      <c r="Q27" s="26"/>
      <c r="R27" s="26"/>
      <c r="S27" s="26"/>
      <c r="T27" s="26"/>
      <c r="U27" s="26"/>
      <c r="V27" s="26"/>
      <c r="W27" s="26"/>
      <c r="X27" s="26"/>
      <c r="Y27" s="26"/>
      <c r="Z27" s="26"/>
      <c r="AA27" s="26"/>
      <c r="AB27" s="26"/>
    </row>
    <row r="28">
      <c r="A28" s="21" t="s">
        <v>1163</v>
      </c>
      <c r="B28" s="22" t="s">
        <v>1164</v>
      </c>
      <c r="C28" s="23" t="str">
        <f>IFERROR(__xludf.DUMMYFUNCTION("GOOGLETRANSLATE(B28, ""en"", ""fr"")"),"Hacher les saules")</f>
        <v>Hacher les saules</v>
      </c>
      <c r="D28" s="23" t="str">
        <f>IFERROR(__xludf.DUMMYFUNCTION("GOOGLETRANSLATE(B28, ""en"", ""es"")"),"Picar sauces")</f>
        <v>Picar sauces</v>
      </c>
      <c r="E28" s="23" t="str">
        <f>IFERROR(__xludf.DUMMYFUNCTION("GOOGLETRANSLATE(B28, ""en"", ""ru"")"),"Нарезать ивы деревья")</f>
        <v>Нарезать ивы деревья</v>
      </c>
      <c r="F28" s="23" t="str">
        <f>IFERROR(__xludf.DUMMYFUNCTION("GOOGLETRANSLATE(B28, ""en"", ""tr"")"),"Söğüt ağaçlarını doğrayın")</f>
        <v>Söğüt ağaçlarını doğrayın</v>
      </c>
      <c r="G28" s="23" t="str">
        <f>IFERROR(__xludf.DUMMYFUNCTION("GOOGLETRANSLATE(B28, ""en"", ""pt"")"),"Pique as árvores de salgueiro")</f>
        <v>Pique as árvores de salgueiro</v>
      </c>
      <c r="H28" s="24" t="str">
        <f>IFERROR(__xludf.DUMMYFUNCTION("GOOGLETRANSLATE(B28, ""en"", ""de"")"),"Weidenbäume hacken")</f>
        <v>Weidenbäume hacken</v>
      </c>
      <c r="I28" s="23" t="str">
        <f>IFERROR(__xludf.DUMMYFUNCTION("GOOGLETRANSLATE(B28, ""en"", ""pl"")"),"Posiekaj wierzby")</f>
        <v>Posiekaj wierzby</v>
      </c>
      <c r="J28" s="25" t="str">
        <f>IFERROR(__xludf.DUMMYFUNCTION("GOOGLETRANSLATE(B28, ""en"", ""zh"")"),"切碎柳树")</f>
        <v>切碎柳树</v>
      </c>
      <c r="K28" s="25" t="str">
        <f>IFERROR(__xludf.DUMMYFUNCTION("GOOGLETRANSLATE(B28, ""en"", ""vi"")"),"Cây liễu")</f>
        <v>Cây liễu</v>
      </c>
      <c r="L28" s="42" t="str">
        <f>IFERROR(__xludf.DUMMYFUNCTION("GOOGLETRANSLATE(B28, ""en"", ""hr"")"),"Nasjeckajte vrbe")</f>
        <v>Nasjeckajte vrbe</v>
      </c>
      <c r="M28" s="26"/>
      <c r="N28" s="26"/>
      <c r="O28" s="26"/>
      <c r="P28" s="26"/>
      <c r="Q28" s="26"/>
      <c r="R28" s="26"/>
      <c r="S28" s="26"/>
      <c r="T28" s="26"/>
      <c r="U28" s="26"/>
      <c r="V28" s="26"/>
      <c r="W28" s="26"/>
      <c r="X28" s="26"/>
      <c r="Y28" s="26"/>
      <c r="Z28" s="26"/>
      <c r="AA28" s="26"/>
      <c r="AB28" s="26"/>
    </row>
    <row r="29">
      <c r="A29" s="21" t="s">
        <v>1165</v>
      </c>
      <c r="B29" s="22" t="s">
        <v>1166</v>
      </c>
      <c r="C29" s="23" t="str">
        <f>IFERROR(__xludf.DUMMYFUNCTION("GOOGLETRANSLATE(B29, ""en"", ""fr"")"),"Hacher des chênes")</f>
        <v>Hacher des chênes</v>
      </c>
      <c r="D29" s="23" t="str">
        <f>IFERROR(__xludf.DUMMYFUNCTION("GOOGLETRANSLATE(B29, ""en"", ""es"")"),"Chop Oak Trees")</f>
        <v>Chop Oak Trees</v>
      </c>
      <c r="E29" s="23" t="str">
        <f>IFERROR(__xludf.DUMMYFUNCTION("GOOGLETRANSLATE(B29, ""en"", ""ru"")"),"Нарезать дубы")</f>
        <v>Нарезать дубы</v>
      </c>
      <c r="F29" s="23" t="str">
        <f>IFERROR(__xludf.DUMMYFUNCTION("GOOGLETRANSLATE(B29, ""en"", ""tr"")"),"Meşe ağaçlarını doğrayın")</f>
        <v>Meşe ağaçlarını doğrayın</v>
      </c>
      <c r="G29" s="23" t="str">
        <f>IFERROR(__xludf.DUMMYFUNCTION("GOOGLETRANSLATE(B29, ""en"", ""pt"")"),"Pique os carvalhos")</f>
        <v>Pique os carvalhos</v>
      </c>
      <c r="H29" s="24" t="str">
        <f>IFERROR(__xludf.DUMMYFUNCTION("GOOGLETRANSLATE(B29, ""en"", ""de"")"),"Eichenbäume hacken")</f>
        <v>Eichenbäume hacken</v>
      </c>
      <c r="I29" s="23" t="str">
        <f>IFERROR(__xludf.DUMMYFUNCTION("GOOGLETRANSLATE(B29, ""en"", ""pl"")"),"Posiekaj dębowe drzewa")</f>
        <v>Posiekaj dębowe drzewa</v>
      </c>
      <c r="J29" s="25" t="str">
        <f>IFERROR(__xludf.DUMMYFUNCTION("GOOGLETRANSLATE(B29, ""en"", ""zh"")"),"切碎橡树")</f>
        <v>切碎橡树</v>
      </c>
      <c r="K29" s="25" t="str">
        <f>IFERROR(__xludf.DUMMYFUNCTION("GOOGLETRANSLATE(B29, ""en"", ""vi"")"),"Cây gỗ sồi")</f>
        <v>Cây gỗ sồi</v>
      </c>
      <c r="L29" s="42" t="str">
        <f>IFERROR(__xludf.DUMMYFUNCTION("GOOGLETRANSLATE(B29, ""en"", ""hr"")"),"Nasjeckajte hrastove stabla")</f>
        <v>Nasjeckajte hrastove stabla</v>
      </c>
      <c r="M29" s="26"/>
      <c r="N29" s="26"/>
      <c r="O29" s="26"/>
      <c r="P29" s="26"/>
      <c r="Q29" s="26"/>
      <c r="R29" s="26"/>
      <c r="S29" s="26"/>
      <c r="T29" s="26"/>
      <c r="U29" s="26"/>
      <c r="V29" s="26"/>
      <c r="W29" s="26"/>
      <c r="X29" s="26"/>
      <c r="Y29" s="26"/>
      <c r="Z29" s="26"/>
      <c r="AA29" s="26"/>
      <c r="AB29" s="26"/>
    </row>
    <row r="30">
      <c r="A30" s="21" t="s">
        <v>1167</v>
      </c>
      <c r="B30" s="22" t="s">
        <v>1168</v>
      </c>
      <c r="C30" s="23" t="str">
        <f>IFERROR(__xludf.DUMMYFUNCTION("GOOGLETRANSLATE(B30, ""en"", ""fr"")"),"Mine de fer")</f>
        <v>Mine de fer</v>
      </c>
      <c r="D30" s="23" t="str">
        <f>IFERROR(__xludf.DUMMYFUNCTION("GOOGLETRANSLATE(B30, ""en"", ""es"")"),"Minera de hierro mía")</f>
        <v>Minera de hierro mía</v>
      </c>
      <c r="E30" s="23" t="str">
        <f>IFERROR(__xludf.DUMMYFUNCTION("GOOGLETRANSLATE(B30, ""en"", ""ru"")"),"Моя железная руда")</f>
        <v>Моя железная руда</v>
      </c>
      <c r="F30" s="23" t="str">
        <f>IFERROR(__xludf.DUMMYFUNCTION("GOOGLETRANSLATE(B30, ""en"", ""tr"")"),"Maden demir cevheri")</f>
        <v>Maden demir cevheri</v>
      </c>
      <c r="G30" s="23" t="str">
        <f>IFERROR(__xludf.DUMMYFUNCTION("GOOGLETRANSLATE(B30, ""en"", ""pt"")"),"Minério de ferro")</f>
        <v>Minério de ferro</v>
      </c>
      <c r="H30" s="24" t="str">
        <f>IFERROR(__xludf.DUMMYFUNCTION("GOOGLETRANSLATE(B30, ""en"", ""de"")"),"Mine Eisenerz")</f>
        <v>Mine Eisenerz</v>
      </c>
      <c r="I30" s="23" t="str">
        <f>IFERROR(__xludf.DUMMYFUNCTION("GOOGLETRANSLATE(B30, ""en"", ""pl"")"),"Moja ruda żelaza")</f>
        <v>Moja ruda żelaza</v>
      </c>
      <c r="J30" s="25" t="str">
        <f>IFERROR(__xludf.DUMMYFUNCTION("GOOGLETRANSLATE(B30, ""en"", ""zh"")"),"地雷铁矿石")</f>
        <v>地雷铁矿石</v>
      </c>
      <c r="K30" s="25" t="str">
        <f>IFERROR(__xludf.DUMMYFUNCTION("GOOGLETRANSLATE(B30, ""en"", ""vi"")"),"Quặng sắt của tôi")</f>
        <v>Quặng sắt của tôi</v>
      </c>
      <c r="L30" s="42" t="str">
        <f>IFERROR(__xludf.DUMMYFUNCTION("GOOGLETRANSLATE(B30, ""en"", ""hr"")"),"Mine željezna ruda")</f>
        <v>Mine željezna ruda</v>
      </c>
      <c r="M30" s="26"/>
      <c r="N30" s="26"/>
      <c r="O30" s="26"/>
      <c r="P30" s="26"/>
      <c r="Q30" s="26"/>
      <c r="R30" s="26"/>
      <c r="S30" s="26"/>
      <c r="T30" s="26"/>
      <c r="U30" s="26"/>
      <c r="V30" s="26"/>
      <c r="W30" s="26"/>
      <c r="X30" s="26"/>
      <c r="Y30" s="26"/>
      <c r="Z30" s="26"/>
      <c r="AA30" s="26"/>
      <c r="AB30" s="26"/>
    </row>
    <row r="31">
      <c r="A31" s="21" t="s">
        <v>1169</v>
      </c>
      <c r="B31" s="22" t="s">
        <v>1170</v>
      </c>
      <c r="C31" s="23" t="str">
        <f>IFERROR(__xludf.DUMMYFUNCTION("GOOGLETRANSLATE(B31, ""en"", ""fr"")"),"Mine de minerai de dungium")</f>
        <v>Mine de minerai de dungium</v>
      </c>
      <c r="D31" s="23" t="str">
        <f>IFERROR(__xludf.DUMMYFUNCTION("GOOGLETRANSLATE(B31, ""en"", ""es"")"),"Mineral de mía dungium")</f>
        <v>Mineral de mía dungium</v>
      </c>
      <c r="E31" s="23" t="str">
        <f>IFERROR(__xludf.DUMMYFUNCTION("GOOGLETRANSLATE(B31, ""en"", ""ru"")"),"Шахтная руда Dungium")</f>
        <v>Шахтная руда Dungium</v>
      </c>
      <c r="F31" s="23" t="str">
        <f>IFERROR(__xludf.DUMMYFUNCTION("GOOGLETRANSLATE(B31, ""en"", ""tr"")"),"Mine Dunyum cevheri")</f>
        <v>Mine Dunyum cevheri</v>
      </c>
      <c r="G31" s="23" t="str">
        <f>IFERROR(__xludf.DUMMYFUNCTION("GOOGLETRANSLATE(B31, ""en"", ""pt"")"),"Minério de minério de dungium")</f>
        <v>Minério de minério de dungium</v>
      </c>
      <c r="H31" s="24" t="str">
        <f>IFERROR(__xludf.DUMMYFUNCTION("GOOGLETRANSLATE(B31, ""en"", ""de"")"),"Mine Dungiumerz")</f>
        <v>Mine Dungiumerz</v>
      </c>
      <c r="I31" s="23" t="str">
        <f>IFERROR(__xludf.DUMMYFUNCTION("GOOGLETRANSLATE(B31, ""en"", ""pl"")"),"Moja ruda dungium")</f>
        <v>Moja ruda dungium</v>
      </c>
      <c r="J31" s="25" t="str">
        <f>IFERROR(__xludf.DUMMYFUNCTION("GOOGLETRANSLATE(B31, ""en"", ""zh"")"),"矿丁矿石")</f>
        <v>矿丁矿石</v>
      </c>
      <c r="K31" s="25" t="str">
        <f>IFERROR(__xludf.DUMMYFUNCTION("GOOGLETRANSLATE(B31, ""en"", ""vi"")"),"Quặng Dungium của tôi")</f>
        <v>Quặng Dungium của tôi</v>
      </c>
      <c r="L31" s="42" t="str">
        <f>IFERROR(__xludf.DUMMYFUNCTION("GOOGLETRANSLATE(B31, ""en"", ""hr"")"),"Ruda ruda")</f>
        <v>Ruda ruda</v>
      </c>
      <c r="M31" s="26"/>
      <c r="N31" s="26"/>
      <c r="O31" s="26"/>
      <c r="P31" s="26"/>
      <c r="Q31" s="26"/>
      <c r="R31" s="26"/>
      <c r="S31" s="26"/>
      <c r="T31" s="26"/>
      <c r="U31" s="26"/>
      <c r="V31" s="26"/>
      <c r="W31" s="26"/>
      <c r="X31" s="26"/>
      <c r="Y31" s="26"/>
      <c r="Z31" s="26"/>
      <c r="AA31" s="26"/>
      <c r="AB31" s="26"/>
    </row>
    <row r="32">
      <c r="A32" s="21" t="s">
        <v>1171</v>
      </c>
      <c r="B32" s="22" t="s">
        <v>1172</v>
      </c>
      <c r="C32" s="23" t="str">
        <f>IFERROR(__xludf.DUMMYFUNCTION("GOOGLETRANSLATE(B32, ""en"", ""fr"")"),"Mine Agonite Ore")</f>
        <v>Mine Agonite Ore</v>
      </c>
      <c r="D32" s="23" t="str">
        <f>IFERROR(__xludf.DUMMYFUNCTION("GOOGLETRANSLATE(B32, ""en"", ""es"")"),"Mineral de agonita")</f>
        <v>Mineral de agonita</v>
      </c>
      <c r="E32" s="23" t="str">
        <f>IFERROR(__xludf.DUMMYFUNCTION("GOOGLETRANSLATE(B32, ""en"", ""ru"")"),"Моя агонитная руда")</f>
        <v>Моя агонитная руда</v>
      </c>
      <c r="F32" s="23" t="str">
        <f>IFERROR(__xludf.DUMMYFUNCTION("GOOGLETRANSLATE(B32, ""en"", ""tr"")"),"Mine Agonite cevheri")</f>
        <v>Mine Agonite cevheri</v>
      </c>
      <c r="G32" s="23" t="str">
        <f>IFERROR(__xludf.DUMMYFUNCTION("GOOGLETRANSLATE(B32, ""en"", ""pt"")"),"Minério de agonita")</f>
        <v>Minério de agonita</v>
      </c>
      <c r="H32" s="24" t="str">
        <f>IFERROR(__xludf.DUMMYFUNCTION("GOOGLETRANSLATE(B32, ""en"", ""de"")"),"Mine Agonite Ore")</f>
        <v>Mine Agonite Ore</v>
      </c>
      <c r="I32" s="23" t="str">
        <f>IFERROR(__xludf.DUMMYFUNCTION("GOOGLETRANSLATE(B32, ""en"", ""pl"")"),"Moja ruda agonitowa")</f>
        <v>Moja ruda agonitowa</v>
      </c>
      <c r="J32" s="25" t="str">
        <f>IFERROR(__xludf.DUMMYFUNCTION("GOOGLETRANSLATE(B32, ""en"", ""zh"")"),"矿石矿石")</f>
        <v>矿石矿石</v>
      </c>
      <c r="K32" s="25" t="str">
        <f>IFERROR(__xludf.DUMMYFUNCTION("GOOGLETRANSLATE(B32, ""en"", ""vi"")"),"Quặng Agonite của tôi")</f>
        <v>Quặng Agonite của tôi</v>
      </c>
      <c r="L32" s="42" t="str">
        <f>IFERROR(__xludf.DUMMYFUNCTION("GOOGLETRANSLATE(B32, ""en"", ""hr"")"),"Moja agonit ruda")</f>
        <v>Moja agonit ruda</v>
      </c>
      <c r="M32" s="26"/>
      <c r="N32" s="26"/>
      <c r="O32" s="26"/>
      <c r="P32" s="26"/>
      <c r="Q32" s="26"/>
      <c r="R32" s="26"/>
      <c r="S32" s="26"/>
      <c r="T32" s="26"/>
      <c r="U32" s="26"/>
      <c r="V32" s="26"/>
      <c r="W32" s="26"/>
      <c r="X32" s="26"/>
      <c r="Y32" s="26"/>
      <c r="Z32" s="26"/>
      <c r="AA32" s="26"/>
      <c r="AB32" s="26"/>
    </row>
    <row r="33">
      <c r="A33" s="21" t="s">
        <v>1173</v>
      </c>
      <c r="B33" s="22" t="s">
        <v>1174</v>
      </c>
      <c r="C33" s="23" t="str">
        <f>IFERROR(__xludf.DUMMYFUNCTION("GOOGLETRANSLATE(B33, ""en"", ""fr"")"),"Mine noctis")</f>
        <v>Mine noctis</v>
      </c>
      <c r="D33" s="23" t="str">
        <f>IFERROR(__xludf.DUMMYFUNCTION("GOOGLETRANSLATE(B33, ""en"", ""es"")"),"Mía noctis mineral")</f>
        <v>Mía noctis mineral</v>
      </c>
      <c r="E33" s="23" t="str">
        <f>IFERROR(__xludf.DUMMYFUNCTION("GOOGLETRANSLATE(B33, ""en"", ""ru"")"),"Шахта noctis ore")</f>
        <v>Шахта noctis ore</v>
      </c>
      <c r="F33" s="23" t="str">
        <f>IFERROR(__xludf.DUMMYFUNCTION("GOOGLETRANSLATE(B33, ""en"", ""tr"")"),"Mine noctis cevheri")</f>
        <v>Mine noctis cevheri</v>
      </c>
      <c r="G33" s="23" t="str">
        <f>IFERROR(__xludf.DUMMYFUNCTION("GOOGLETRANSLATE(B33, ""en"", ""pt"")"),"Meu noctis minério")</f>
        <v>Meu noctis minério</v>
      </c>
      <c r="H33" s="24" t="str">
        <f>IFERROR(__xludf.DUMMYFUNCTION("GOOGLETRANSLATE(B33, ""en"", ""de"")"),"Mine noctis ore")</f>
        <v>Mine noctis ore</v>
      </c>
      <c r="I33" s="23" t="str">
        <f>IFERROR(__xludf.DUMMYFUNCTION("GOOGLETRANSLATE(B33, ""en"", ""pl"")"),"Moja ruda Noctis")</f>
        <v>Moja ruda Noctis</v>
      </c>
      <c r="J33" s="25" t="str">
        <f>IFERROR(__xludf.DUMMYFUNCTION("GOOGLETRANSLATE(B33, ""en"", ""zh"")"),"地雷noctis矿石")</f>
        <v>地雷noctis矿石</v>
      </c>
      <c r="K33" s="25" t="str">
        <f>IFERROR(__xludf.DUMMYFUNCTION("GOOGLETRANSLATE(B33, ""en"", ""vi"")"),"Quặng Noctis của tôi")</f>
        <v>Quặng Noctis của tôi</v>
      </c>
      <c r="L33" s="42" t="str">
        <f>IFERROR(__xludf.DUMMYFUNCTION("GOOGLETRANSLATE(B33, ""en"", ""hr"")"),"Moja noctis ruda")</f>
        <v>Moja noctis ruda</v>
      </c>
      <c r="M33" s="26"/>
      <c r="N33" s="26"/>
      <c r="O33" s="26"/>
      <c r="P33" s="26"/>
      <c r="Q33" s="26"/>
      <c r="R33" s="26"/>
      <c r="S33" s="26"/>
      <c r="T33" s="26"/>
      <c r="U33" s="26"/>
      <c r="V33" s="26"/>
      <c r="W33" s="26"/>
      <c r="X33" s="26"/>
      <c r="Y33" s="26"/>
      <c r="Z33" s="26"/>
      <c r="AA33" s="26"/>
      <c r="AB33" s="26"/>
    </row>
    <row r="34">
      <c r="A34" s="21" t="s">
        <v>1175</v>
      </c>
      <c r="B34" s="22" t="s">
        <v>1176</v>
      </c>
      <c r="C34" s="23" t="str">
        <f>IFERROR(__xludf.DUMMYFUNCTION("GOOGLETRANSLATE(B34, ""en"", ""fr"")"),"Flèches artisanales")</f>
        <v>Flèches artisanales</v>
      </c>
      <c r="D34" s="23" t="str">
        <f>IFERROR(__xludf.DUMMYFUNCTION("GOOGLETRANSLATE(B34, ""en"", ""es"")"),"Flechas de artesanía")</f>
        <v>Flechas de artesanía</v>
      </c>
      <c r="E34" s="23" t="str">
        <f>IFERROR(__xludf.DUMMYFUNCTION("GOOGLETRANSLATE(B34, ""en"", ""ru"")"),"Ремесленные стрелы")</f>
        <v>Ремесленные стрелы</v>
      </c>
      <c r="F34" s="23" t="str">
        <f>IFERROR(__xludf.DUMMYFUNCTION("GOOGLETRANSLATE(B34, ""en"", ""tr"")"),"Zanaat okları")</f>
        <v>Zanaat okları</v>
      </c>
      <c r="G34" s="23" t="str">
        <f>IFERROR(__xludf.DUMMYFUNCTION("GOOGLETRANSLATE(B34, ""en"", ""pt"")"),"Fletas artesanais")</f>
        <v>Fletas artesanais</v>
      </c>
      <c r="H34" s="24" t="str">
        <f>IFERROR(__xludf.DUMMYFUNCTION("GOOGLETRANSLATE(B34, ""en"", ""de"")"),"Basteln Pfeile")</f>
        <v>Basteln Pfeile</v>
      </c>
      <c r="I34" s="23" t="str">
        <f>IFERROR(__xludf.DUMMYFUNCTION("GOOGLETRANSLATE(B34, ""en"", ""pl"")"),"Strzały rzemieślnicze")</f>
        <v>Strzały rzemieślnicze</v>
      </c>
      <c r="J34" s="25" t="str">
        <f>IFERROR(__xludf.DUMMYFUNCTION("GOOGLETRANSLATE(B34, ""en"", ""zh"")"),"手工箭头")</f>
        <v>手工箭头</v>
      </c>
      <c r="K34" s="25" t="str">
        <f>IFERROR(__xludf.DUMMYFUNCTION("GOOGLETRANSLATE(B34, ""en"", ""vi"")"),"Mũi tên thủ công")</f>
        <v>Mũi tên thủ công</v>
      </c>
      <c r="L34" s="42" t="str">
        <f>IFERROR(__xludf.DUMMYFUNCTION("GOOGLETRANSLATE(B34, ""en"", ""hr"")"),"Zanatske strelice")</f>
        <v>Zanatske strelice</v>
      </c>
      <c r="M34" s="26"/>
      <c r="N34" s="26"/>
      <c r="O34" s="26"/>
      <c r="P34" s="26"/>
      <c r="Q34" s="26"/>
      <c r="R34" s="26"/>
      <c r="S34" s="26"/>
      <c r="T34" s="26"/>
      <c r="U34" s="26"/>
      <c r="V34" s="26"/>
      <c r="W34" s="26"/>
      <c r="X34" s="26"/>
      <c r="Y34" s="26"/>
      <c r="Z34" s="26"/>
      <c r="AA34" s="26"/>
      <c r="AB34" s="26"/>
    </row>
    <row r="35">
      <c r="A35" s="21" t="s">
        <v>1177</v>
      </c>
      <c r="B35" s="22" t="s">
        <v>1178</v>
      </c>
      <c r="C35" s="23" t="str">
        <f>IFERROR(__xludf.DUMMYFUNCTION("GOOGLETRANSLATE(B35, ""en"", ""fr"")"),"Artisanat")</f>
        <v>Artisanat</v>
      </c>
      <c r="D35" s="23" t="str">
        <f>IFERROR(__xludf.DUMMYFUNCTION("GOOGLETRANSLATE(B35, ""en"", ""es"")"),"Dagas de artesanía")</f>
        <v>Dagas de artesanía</v>
      </c>
      <c r="E35" s="23" t="str">
        <f>IFERROR(__xludf.DUMMYFUNCTION("GOOGLETRANSLATE(B35, ""en"", ""ru"")"),"Ремесленные кинжалы")</f>
        <v>Ремесленные кинжалы</v>
      </c>
      <c r="F35" s="23" t="str">
        <f>IFERROR(__xludf.DUMMYFUNCTION("GOOGLETRANSLATE(B35, ""en"", ""tr"")"),"Zanaat hançer")</f>
        <v>Zanaat hançer</v>
      </c>
      <c r="G35" s="23" t="str">
        <f>IFERROR(__xludf.DUMMYFUNCTION("GOOGLETRANSLATE(B35, ""en"", ""pt"")"),"Punhais artesanais")</f>
        <v>Punhais artesanais</v>
      </c>
      <c r="H35" s="24" t="str">
        <f>IFERROR(__xludf.DUMMYFUNCTION("GOOGLETRANSLATE(B35, ""en"", ""de"")"),"Dolche basteln")</f>
        <v>Dolche basteln</v>
      </c>
      <c r="I35" s="23" t="str">
        <f>IFERROR(__xludf.DUMMYFUNCTION("GOOGLETRANSLATE(B35, ""en"", ""pl"")"),"Craft Daggers")</f>
        <v>Craft Daggers</v>
      </c>
      <c r="J35" s="25" t="str">
        <f>IFERROR(__xludf.DUMMYFUNCTION("GOOGLETRANSLATE(B35, ""en"", ""zh"")"),"工艺匕首")</f>
        <v>工艺匕首</v>
      </c>
      <c r="K35" s="25" t="str">
        <f>IFERROR(__xludf.DUMMYFUNCTION("GOOGLETRANSLATE(B35, ""en"", ""vi"")"),"Dao găm thủ công")</f>
        <v>Dao găm thủ công</v>
      </c>
      <c r="L35" s="42" t="str">
        <f>IFERROR(__xludf.DUMMYFUNCTION("GOOGLETRANSLATE(B35, ""en"", ""hr"")"),"Zanatski bodeži")</f>
        <v>Zanatski bodeži</v>
      </c>
      <c r="M35" s="26"/>
      <c r="N35" s="26"/>
      <c r="O35" s="26"/>
      <c r="P35" s="26"/>
      <c r="Q35" s="26"/>
      <c r="R35" s="26"/>
      <c r="S35" s="26"/>
      <c r="T35" s="26"/>
      <c r="U35" s="26"/>
      <c r="V35" s="26"/>
      <c r="W35" s="26"/>
      <c r="X35" s="26"/>
      <c r="Y35" s="26"/>
      <c r="Z35" s="26"/>
      <c r="AA35" s="26"/>
      <c r="AB35" s="26"/>
    </row>
    <row r="36">
      <c r="A36" s="21" t="s">
        <v>1179</v>
      </c>
      <c r="B36" s="22" t="s">
        <v>1180</v>
      </c>
      <c r="C36" s="23" t="str">
        <f>IFERROR(__xludf.DUMMYFUNCTION("GOOGLETRANSLATE(B36, ""en"", ""fr"")"),"Artisanat des épées")</f>
        <v>Artisanat des épées</v>
      </c>
      <c r="D36" s="23" t="str">
        <f>IFERROR(__xludf.DUMMYFUNCTION("GOOGLETRANSLATE(B36, ""en"", ""es"")"),"Espadas de artesanía")</f>
        <v>Espadas de artesanía</v>
      </c>
      <c r="E36" s="23" t="str">
        <f>IFERROR(__xludf.DUMMYFUNCTION("GOOGLETRANSLATE(B36, ""en"", ""ru"")"),"Ремесленные мечи")</f>
        <v>Ремесленные мечи</v>
      </c>
      <c r="F36" s="23" t="str">
        <f>IFERROR(__xludf.DUMMYFUNCTION("GOOGLETRANSLATE(B36, ""en"", ""tr"")"),"Zanaat kılıçları")</f>
        <v>Zanaat kılıçları</v>
      </c>
      <c r="G36" s="23" t="str">
        <f>IFERROR(__xludf.DUMMYFUNCTION("GOOGLETRANSLATE(B36, ""en"", ""pt"")"),"Espadas artesanais")</f>
        <v>Espadas artesanais</v>
      </c>
      <c r="H36" s="24" t="str">
        <f>IFERROR(__xludf.DUMMYFUNCTION("GOOGLETRANSLATE(B36, ""en"", ""de"")"),"Handwerksschwerte")</f>
        <v>Handwerksschwerte</v>
      </c>
      <c r="I36" s="23" t="str">
        <f>IFERROR(__xludf.DUMMYFUNCTION("GOOGLETRANSLATE(B36, ""en"", ""pl"")"),"Miecze rzemieślnicze")</f>
        <v>Miecze rzemieślnicze</v>
      </c>
      <c r="J36" s="25" t="str">
        <f>IFERROR(__xludf.DUMMYFUNCTION("GOOGLETRANSLATE(B36, ""en"", ""zh"")"),"手工剑")</f>
        <v>手工剑</v>
      </c>
      <c r="K36" s="25" t="str">
        <f>IFERROR(__xludf.DUMMYFUNCTION("GOOGLETRANSLATE(B36, ""en"", ""vi"")"),"Kiếm thủ công")</f>
        <v>Kiếm thủ công</v>
      </c>
      <c r="L36" s="42" t="str">
        <f>IFERROR(__xludf.DUMMYFUNCTION("GOOGLETRANSLATE(B36, ""en"", ""hr"")"),"Zanatski mačevi")</f>
        <v>Zanatski mačevi</v>
      </c>
      <c r="M36" s="26"/>
      <c r="N36" s="26"/>
      <c r="O36" s="26"/>
      <c r="P36" s="26"/>
      <c r="Q36" s="26"/>
      <c r="R36" s="26"/>
      <c r="S36" s="26"/>
      <c r="T36" s="26"/>
      <c r="U36" s="26"/>
      <c r="V36" s="26"/>
      <c r="W36" s="26"/>
      <c r="X36" s="26"/>
      <c r="Y36" s="26"/>
      <c r="Z36" s="26"/>
      <c r="AA36" s="26"/>
      <c r="AB36" s="26"/>
    </row>
    <row r="37">
      <c r="A37" s="21" t="s">
        <v>1181</v>
      </c>
      <c r="B37" s="22" t="s">
        <v>1182</v>
      </c>
      <c r="C37" s="23" t="str">
        <f>IFERROR(__xludf.DUMMYFUNCTION("GOOGLETRANSLATE(B37, ""en"", ""fr"")"),"Marteaux artisanaux")</f>
        <v>Marteaux artisanaux</v>
      </c>
      <c r="D37" s="23" t="str">
        <f>IFERROR(__xludf.DUMMYFUNCTION("GOOGLETRANSLATE(B37, ""en"", ""es"")"),"Martillos")</f>
        <v>Martillos</v>
      </c>
      <c r="E37" s="23" t="str">
        <f>IFERROR(__xludf.DUMMYFUNCTION("GOOGLETRANSLATE(B37, ""en"", ""ru"")"),"Ремесленные молотки")</f>
        <v>Ремесленные молотки</v>
      </c>
      <c r="F37" s="23" t="str">
        <f>IFERROR(__xludf.DUMMYFUNCTION("GOOGLETRANSLATE(B37, ""en"", ""tr"")"),"Zanaat çekiçleri")</f>
        <v>Zanaat çekiçleri</v>
      </c>
      <c r="G37" s="23" t="str">
        <f>IFERROR(__xludf.DUMMYFUNCTION("GOOGLETRANSLATE(B37, ""en"", ""pt"")"),"Martelos artesanais")</f>
        <v>Martelos artesanais</v>
      </c>
      <c r="H37" s="24" t="str">
        <f>IFERROR(__xludf.DUMMYFUNCTION("GOOGLETRANSLATE(B37, ""en"", ""de"")"),"Handwerk Hämmer")</f>
        <v>Handwerk Hämmer</v>
      </c>
      <c r="I37" s="23" t="str">
        <f>IFERROR(__xludf.DUMMYFUNCTION("GOOGLETRANSLATE(B37, ""en"", ""pl"")"),"Młotki rzemieślnicze")</f>
        <v>Młotki rzemieślnicze</v>
      </c>
      <c r="J37" s="25" t="str">
        <f>IFERROR(__xludf.DUMMYFUNCTION("GOOGLETRANSLATE(B37, ""en"", ""zh"")"),"手工锤")</f>
        <v>手工锤</v>
      </c>
      <c r="K37" s="25" t="str">
        <f>IFERROR(__xludf.DUMMYFUNCTION("GOOGLETRANSLATE(B37, ""en"", ""vi"")"),"Craft Hammer")</f>
        <v>Craft Hammer</v>
      </c>
      <c r="L37" s="42" t="str">
        <f>IFERROR(__xludf.DUMMYFUNCTION("GOOGLETRANSLATE(B37, ""en"", ""hr"")"),"Craft Hammers")</f>
        <v>Craft Hammers</v>
      </c>
      <c r="M37" s="26"/>
      <c r="N37" s="26"/>
      <c r="O37" s="26"/>
      <c r="P37" s="26"/>
      <c r="Q37" s="26"/>
      <c r="R37" s="26"/>
      <c r="S37" s="26"/>
      <c r="T37" s="26"/>
      <c r="U37" s="26"/>
      <c r="V37" s="26"/>
      <c r="W37" s="26"/>
      <c r="X37" s="26"/>
      <c r="Y37" s="26"/>
      <c r="Z37" s="26"/>
      <c r="AA37" s="26"/>
      <c r="AB37" s="26"/>
    </row>
    <row r="38">
      <c r="A38" s="21" t="s">
        <v>1183</v>
      </c>
      <c r="B38" s="22" t="s">
        <v>1184</v>
      </c>
      <c r="C38" s="23" t="str">
        <f>IFERROR(__xludf.DUMMYFUNCTION("GOOGLETRANSLATE(B38, ""en"", ""fr"")"),"Artisanat shurikens")</f>
        <v>Artisanat shurikens</v>
      </c>
      <c r="D38" s="23" t="str">
        <f>IFERROR(__xludf.DUMMYFUNCTION("GOOGLETRANSLATE(B38, ""en"", ""es"")"),"Artesanía shurikens")</f>
        <v>Artesanía shurikens</v>
      </c>
      <c r="E38" s="23" t="str">
        <f>IFERROR(__xludf.DUMMYFUNCTION("GOOGLETRANSLATE(B38, ""en"", ""ru"")"),"Ремесл Шурикенс")</f>
        <v>Ремесл Шурикенс</v>
      </c>
      <c r="F38" s="23" t="str">
        <f>IFERROR(__xludf.DUMMYFUNCTION("GOOGLETRANSLATE(B38, ""en"", ""tr"")"),"Zanaat shurikens")</f>
        <v>Zanaat shurikens</v>
      </c>
      <c r="G38" s="23" t="str">
        <f>IFERROR(__xludf.DUMMYFUNCTION("GOOGLETRANSLATE(B38, ""en"", ""pt"")"),"Artesanato Shurikens")</f>
        <v>Artesanato Shurikens</v>
      </c>
      <c r="H38" s="24" t="str">
        <f>IFERROR(__xludf.DUMMYFUNCTION("GOOGLETRANSLATE(B38, ""en"", ""de"")"),"Craft Shurikens")</f>
        <v>Craft Shurikens</v>
      </c>
      <c r="I38" s="23" t="str">
        <f>IFERROR(__xludf.DUMMYFUNCTION("GOOGLETRANSLATE(B38, ""en"", ""pl"")"),"Rzemiosło Shurikens")</f>
        <v>Rzemiosło Shurikens</v>
      </c>
      <c r="J38" s="25" t="str">
        <f>IFERROR(__xludf.DUMMYFUNCTION("GOOGLETRANSLATE(B38, ""en"", ""zh"")"),"手工艺品")</f>
        <v>手工艺品</v>
      </c>
      <c r="K38" s="25" t="str">
        <f>IFERROR(__xludf.DUMMYFUNCTION("GOOGLETRANSLATE(B38, ""en"", ""vi"")"),"Thủ công Shurikens")</f>
        <v>Thủ công Shurikens</v>
      </c>
      <c r="L38" s="42" t="str">
        <f>IFERROR(__xludf.DUMMYFUNCTION("GOOGLETRANSLATE(B38, ""en"", ""hr"")"),"Craft Shurikens")</f>
        <v>Craft Shurikens</v>
      </c>
      <c r="M38" s="26"/>
      <c r="N38" s="26"/>
      <c r="O38" s="26"/>
      <c r="P38" s="26"/>
      <c r="Q38" s="26"/>
      <c r="R38" s="26"/>
      <c r="S38" s="26"/>
      <c r="T38" s="26"/>
      <c r="U38" s="26"/>
      <c r="V38" s="26"/>
      <c r="W38" s="26"/>
      <c r="X38" s="26"/>
      <c r="Y38" s="26"/>
      <c r="Z38" s="26"/>
      <c r="AA38" s="26"/>
      <c r="AB38" s="26"/>
    </row>
    <row r="39">
      <c r="A39" s="21" t="s">
        <v>1185</v>
      </c>
      <c r="B39" s="22" t="s">
        <v>1186</v>
      </c>
      <c r="C39" s="23" t="str">
        <f>IFERROR(__xludf.DUMMYFUNCTION("GOOGLETRANSLATE(B39, ""en"", ""fr"")"),"Arcs artisanaux")</f>
        <v>Arcs artisanaux</v>
      </c>
      <c r="D39" s="23" t="str">
        <f>IFERROR(__xludf.DUMMYFUNCTION("GOOGLETRANSLATE(B39, ""en"", ""es"")"),"Arcos artesanales")</f>
        <v>Arcos artesanales</v>
      </c>
      <c r="E39" s="23" t="str">
        <f>IFERROR(__xludf.DUMMYFUNCTION("GOOGLETRANSLATE(B39, ""en"", ""ru"")"),"Ремесленные луки")</f>
        <v>Ремесленные луки</v>
      </c>
      <c r="F39" s="23" t="str">
        <f>IFERROR(__xludf.DUMMYFUNCTION("GOOGLETRANSLATE(B39, ""en"", ""tr"")"),"Zanaat yayları")</f>
        <v>Zanaat yayları</v>
      </c>
      <c r="G39" s="23" t="str">
        <f>IFERROR(__xludf.DUMMYFUNCTION("GOOGLETRANSLATE(B39, ""en"", ""pt"")"),"Arcos de artesanato")</f>
        <v>Arcos de artesanato</v>
      </c>
      <c r="H39" s="24" t="str">
        <f>IFERROR(__xludf.DUMMYFUNCTION("GOOGLETRANSLATE(B39, ""en"", ""de"")"),"Handwerkskleider")</f>
        <v>Handwerkskleider</v>
      </c>
      <c r="I39" s="23" t="str">
        <f>IFERROR(__xludf.DUMMYFUNCTION("GOOGLETRANSLATE(B39, ""en"", ""pl"")"),"Łuki rzemieślnicze")</f>
        <v>Łuki rzemieślnicze</v>
      </c>
      <c r="J39" s="25" t="str">
        <f>IFERROR(__xludf.DUMMYFUNCTION("GOOGLETRANSLATE(B39, ""en"", ""zh"")"),"手工弓")</f>
        <v>手工弓</v>
      </c>
      <c r="K39" s="25" t="str">
        <f>IFERROR(__xludf.DUMMYFUNCTION("GOOGLETRANSLATE(B39, ""en"", ""vi"")"),"Cung thủ công")</f>
        <v>Cung thủ công</v>
      </c>
      <c r="L39" s="42" t="str">
        <f>IFERROR(__xludf.DUMMYFUNCTION("GOOGLETRANSLATE(B39, ""en"", ""hr"")"),"Zanatske lukove")</f>
        <v>Zanatske lukove</v>
      </c>
      <c r="M39" s="26"/>
      <c r="N39" s="26"/>
      <c r="O39" s="26"/>
      <c r="P39" s="26"/>
      <c r="Q39" s="26"/>
      <c r="R39" s="26"/>
      <c r="S39" s="26"/>
      <c r="T39" s="26"/>
      <c r="U39" s="26"/>
      <c r="V39" s="26"/>
      <c r="W39" s="26"/>
      <c r="X39" s="26"/>
      <c r="Y39" s="26"/>
      <c r="Z39" s="26"/>
      <c r="AA39" s="26"/>
      <c r="AB39" s="26"/>
    </row>
    <row r="40">
      <c r="A40" s="21" t="s">
        <v>1187</v>
      </c>
      <c r="B40" s="22" t="s">
        <v>1188</v>
      </c>
      <c r="C40" s="23" t="str">
        <f>IFERROR(__xludf.DUMMYFUNCTION("GOOGLETRANSLATE(B40, ""en"", ""fr"")"),"Personnel artisanal")</f>
        <v>Personnel artisanal</v>
      </c>
      <c r="D40" s="23" t="str">
        <f>IFERROR(__xludf.DUMMYFUNCTION("GOOGLETRANSLATE(B40, ""en"", ""es"")"),"Personal de artesanía")</f>
        <v>Personal de artesanía</v>
      </c>
      <c r="E40" s="23" t="str">
        <f>IFERROR(__xludf.DUMMYFUNCTION("GOOGLETRANSLATE(B40, ""en"", ""ru"")"),"Ремесленные сотрудники")</f>
        <v>Ремесленные сотрудники</v>
      </c>
      <c r="F40" s="23" t="str">
        <f>IFERROR(__xludf.DUMMYFUNCTION("GOOGLETRANSLATE(B40, ""en"", ""tr"")"),"Zanaat personeli")</f>
        <v>Zanaat personeli</v>
      </c>
      <c r="G40" s="23" t="str">
        <f>IFERROR(__xludf.DUMMYFUNCTION("GOOGLETRANSLATE(B40, ""en"", ""pt"")"),"Equipes de artesanato")</f>
        <v>Equipes de artesanato</v>
      </c>
      <c r="H40" s="24" t="str">
        <f>IFERROR(__xludf.DUMMYFUNCTION("GOOGLETRANSLATE(B40, ""en"", ""de"")"),"Handwerksmitarbeiter")</f>
        <v>Handwerksmitarbeiter</v>
      </c>
      <c r="I40" s="23" t="str">
        <f>IFERROR(__xludf.DUMMYFUNCTION("GOOGLETRANSLATE(B40, ""en"", ""pl"")"),"Personel rzemieślniczy")</f>
        <v>Personel rzemieślniczy</v>
      </c>
      <c r="J40" s="25" t="str">
        <f>IFERROR(__xludf.DUMMYFUNCTION("GOOGLETRANSLATE(B40, ""en"", ""zh"")"),"手工艺人员")</f>
        <v>手工艺人员</v>
      </c>
      <c r="K40" s="25" t="str">
        <f>IFERROR(__xludf.DUMMYFUNCTION("GOOGLETRANSLATE(B40, ""en"", ""vi"")"),"Nhân viên thủ công")</f>
        <v>Nhân viên thủ công</v>
      </c>
      <c r="L40" s="42" t="str">
        <f>IFERROR(__xludf.DUMMYFUNCTION("GOOGLETRANSLATE(B40, ""en"", ""hr"")"),"Zanatsko osoblje")</f>
        <v>Zanatsko osoblje</v>
      </c>
      <c r="M40" s="26"/>
      <c r="N40" s="26"/>
      <c r="O40" s="26"/>
      <c r="P40" s="26"/>
      <c r="Q40" s="26"/>
      <c r="R40" s="26"/>
      <c r="S40" s="26"/>
      <c r="T40" s="26"/>
      <c r="U40" s="26"/>
      <c r="V40" s="26"/>
      <c r="W40" s="26"/>
      <c r="X40" s="26"/>
      <c r="Y40" s="26"/>
      <c r="Z40" s="26"/>
      <c r="AA40" s="26"/>
      <c r="AB40" s="26"/>
    </row>
    <row r="41">
      <c r="A41" s="21" t="s">
        <v>1189</v>
      </c>
      <c r="B41" s="22" t="s">
        <v>1190</v>
      </c>
      <c r="C41" s="23" t="str">
        <f>IFERROR(__xludf.DUMMYFUNCTION("GOOGLETRANSLATE(B41, ""en"", ""fr"")"),"Hachets d'artisanat")</f>
        <v>Hachets d'artisanat</v>
      </c>
      <c r="D41" s="23" t="str">
        <f>IFERROR(__xludf.DUMMYFUNCTION("GOOGLETRANSLATE(B41, ""en"", ""es"")"),"Hachas")</f>
        <v>Hachas</v>
      </c>
      <c r="E41" s="23" t="str">
        <f>IFERROR(__xludf.DUMMYFUNCTION("GOOGLETRANSLATE(B41, ""en"", ""ru"")"),"Ремесленные топочки")</f>
        <v>Ремесленные топочки</v>
      </c>
      <c r="F41" s="23" t="str">
        <f>IFERROR(__xludf.DUMMYFUNCTION("GOOGLETRANSLATE(B41, ""en"", ""tr"")"),"Zanaat balta")</f>
        <v>Zanaat balta</v>
      </c>
      <c r="G41" s="23" t="str">
        <f>IFERROR(__xludf.DUMMYFUNCTION("GOOGLETRANSLATE(B41, ""en"", ""pt"")"),"Hatchets artesanais")</f>
        <v>Hatchets artesanais</v>
      </c>
      <c r="H41" s="24" t="str">
        <f>IFERROR(__xludf.DUMMYFUNCTION("GOOGLETRANSLATE(B41, ""en"", ""de"")"),"Bastelschlüke")</f>
        <v>Bastelschlüke</v>
      </c>
      <c r="I41" s="23" t="str">
        <f>IFERROR(__xludf.DUMMYFUNCTION("GOOGLETRANSLATE(B41, ""en"", ""pl"")"),"Hatchets rzemieślniczy")</f>
        <v>Hatchets rzemieślniczy</v>
      </c>
      <c r="J41" s="25" t="str">
        <f>IFERROR(__xludf.DUMMYFUNCTION("GOOGLETRANSLATE(B41, ""en"", ""zh"")"),"工艺斧头")</f>
        <v>工艺斧头</v>
      </c>
      <c r="K41" s="25" t="str">
        <f>IFERROR(__xludf.DUMMYFUNCTION("GOOGLETRANSLATE(B41, ""en"", ""vi"")"),"Rìu thủ công")</f>
        <v>Rìu thủ công</v>
      </c>
      <c r="L41" s="42" t="str">
        <f>IFERROR(__xludf.DUMMYFUNCTION("GOOGLETRANSLATE(B41, ""en"", ""hr"")"),"Zanatske sjenice")</f>
        <v>Zanatske sjenice</v>
      </c>
      <c r="M41" s="26"/>
      <c r="N41" s="26"/>
      <c r="O41" s="26"/>
      <c r="P41" s="26"/>
      <c r="Q41" s="26"/>
      <c r="R41" s="26"/>
      <c r="S41" s="26"/>
      <c r="T41" s="26"/>
      <c r="U41" s="26"/>
      <c r="V41" s="26"/>
      <c r="W41" s="26"/>
      <c r="X41" s="26"/>
      <c r="Y41" s="26"/>
      <c r="Z41" s="26"/>
      <c r="AA41" s="26"/>
      <c r="AB41" s="26"/>
    </row>
    <row r="42">
      <c r="A42" s="21" t="s">
        <v>1191</v>
      </c>
      <c r="B42" s="22" t="s">
        <v>1192</v>
      </c>
      <c r="C42" s="23" t="str">
        <f>IFERROR(__xludf.DUMMYFUNCTION("GOOGLETRANSLATE(B42, ""en"", ""fr"")"),"Pickax artisanal")</f>
        <v>Pickax artisanal</v>
      </c>
      <c r="D42" s="23" t="str">
        <f>IFERROR(__xludf.DUMMYFUNCTION("GOOGLETRANSLATE(B42, ""en"", ""es"")"),"Craft Pickaxes")</f>
        <v>Craft Pickaxes</v>
      </c>
      <c r="E42" s="23" t="str">
        <f>IFERROR(__xludf.DUMMYFUNCTION("GOOGLETRANSLATE(B42, ""en"", ""ru"")"),"Ремесленные выборы")</f>
        <v>Ремесленные выборы</v>
      </c>
      <c r="F42" s="23" t="str">
        <f>IFERROR(__xludf.DUMMYFUNCTION("GOOGLETRANSLATE(B42, ""en"", ""tr"")"),"Zanaat kazıkları")</f>
        <v>Zanaat kazıkları</v>
      </c>
      <c r="G42" s="23" t="str">
        <f>IFERROR(__xludf.DUMMYFUNCTION("GOOGLETRANSLATE(B42, ""en"", ""pt"")"),"Picaretas de artesanato")</f>
        <v>Picaretas de artesanato</v>
      </c>
      <c r="H42" s="24" t="str">
        <f>IFERROR(__xludf.DUMMYFUNCTION("GOOGLETRANSLATE(B42, ""en"", ""de"")"),"Handwerkspickel")</f>
        <v>Handwerkspickel</v>
      </c>
      <c r="I42" s="23" t="str">
        <f>IFERROR(__xludf.DUMMYFUNCTION("GOOGLETRANSLATE(B42, ""en"", ""pl"")"),"Craft Pickaxes")</f>
        <v>Craft Pickaxes</v>
      </c>
      <c r="J42" s="25" t="str">
        <f>IFERROR(__xludf.DUMMYFUNCTION("GOOGLETRANSLATE(B42, ""en"", ""zh"")"),"手工采摘")</f>
        <v>手工采摘</v>
      </c>
      <c r="K42" s="25" t="str">
        <f>IFERROR(__xludf.DUMMYFUNCTION("GOOGLETRANSLATE(B42, ""en"", ""vi"")"),"Craft Pickaxes")</f>
        <v>Craft Pickaxes</v>
      </c>
      <c r="L42" s="42" t="str">
        <f>IFERROR(__xludf.DUMMYFUNCTION("GOOGLETRANSLATE(B42, ""en"", ""hr"")"),"Craft Pickexes")</f>
        <v>Craft Pickexes</v>
      </c>
      <c r="M42" s="26"/>
      <c r="N42" s="26"/>
      <c r="O42" s="26"/>
      <c r="P42" s="26"/>
      <c r="Q42" s="26"/>
      <c r="R42" s="26"/>
      <c r="S42" s="26"/>
      <c r="T42" s="26"/>
      <c r="U42" s="26"/>
      <c r="V42" s="26"/>
      <c r="W42" s="26"/>
      <c r="X42" s="26"/>
      <c r="Y42" s="26"/>
      <c r="Z42" s="26"/>
      <c r="AA42" s="26"/>
      <c r="AB42" s="26"/>
    </row>
    <row r="43">
      <c r="A43" s="21" t="s">
        <v>1193</v>
      </c>
      <c r="B43" s="22" t="s">
        <v>1194</v>
      </c>
      <c r="C43" s="23" t="str">
        <f>IFERROR(__xludf.DUMMYFUNCTION("GOOGLETRANSLATE(B43, ""en"", ""fr"")"),"Armure en métal artisanal")</f>
        <v>Armure en métal artisanal</v>
      </c>
      <c r="D43" s="23" t="str">
        <f>IFERROR(__xludf.DUMMYFUNCTION("GOOGLETRANSLATE(B43, ""en"", ""es"")"),"Armadura de metal artesanal")</f>
        <v>Armadura de metal artesanal</v>
      </c>
      <c r="E43" s="23" t="str">
        <f>IFERROR(__xludf.DUMMYFUNCTION("GOOGLETRANSLATE(B43, ""en"", ""ru"")"),"Ремесленная металлическая броня")</f>
        <v>Ремесленная металлическая броня</v>
      </c>
      <c r="F43" s="23" t="str">
        <f>IFERROR(__xludf.DUMMYFUNCTION("GOOGLETRANSLATE(B43, ""en"", ""tr"")"),"Zanaat metal zırhı")</f>
        <v>Zanaat metal zırhı</v>
      </c>
      <c r="G43" s="23" t="str">
        <f>IFERROR(__xludf.DUMMYFUNCTION("GOOGLETRANSLATE(B43, ""en"", ""pt"")"),"Armadura de metal artesanal")</f>
        <v>Armadura de metal artesanal</v>
      </c>
      <c r="H43" s="24" t="str">
        <f>IFERROR(__xludf.DUMMYFUNCTION("GOOGLETRANSLATE(B43, ""en"", ""de"")"),"Handwerksmetallpanzer")</f>
        <v>Handwerksmetallpanzer</v>
      </c>
      <c r="I43" s="23" t="str">
        <f>IFERROR(__xludf.DUMMYFUNCTION("GOOGLETRANSLATE(B43, ""en"", ""pl"")"),"Craft Metal Armor")</f>
        <v>Craft Metal Armor</v>
      </c>
      <c r="J43" s="25" t="str">
        <f>IFERROR(__xludf.DUMMYFUNCTION("GOOGLETRANSLATE(B43, ""en"", ""zh"")"),"工艺金属装甲")</f>
        <v>工艺金属装甲</v>
      </c>
      <c r="K43" s="25" t="str">
        <f>IFERROR(__xludf.DUMMYFUNCTION("GOOGLETRANSLATE(B43, ""en"", ""vi"")"),"Giáp kim loại thủ công")</f>
        <v>Giáp kim loại thủ công</v>
      </c>
      <c r="L43" s="42" t="str">
        <f>IFERROR(__xludf.DUMMYFUNCTION("GOOGLETRANSLATE(B43, ""en"", ""hr"")"),"Zanatski metalni oklop")</f>
        <v>Zanatski metalni oklop</v>
      </c>
      <c r="M43" s="26"/>
      <c r="N43" s="26"/>
      <c r="O43" s="26"/>
      <c r="P43" s="26"/>
      <c r="Q43" s="26"/>
      <c r="R43" s="26"/>
      <c r="S43" s="26"/>
      <c r="T43" s="26"/>
      <c r="U43" s="26"/>
      <c r="V43" s="26"/>
      <c r="W43" s="26"/>
      <c r="X43" s="26"/>
      <c r="Y43" s="26"/>
      <c r="Z43" s="26"/>
      <c r="AA43" s="26"/>
      <c r="AB43" s="26"/>
    </row>
    <row r="44">
      <c r="A44" s="21" t="s">
        <v>1195</v>
      </c>
      <c r="B44" s="22" t="s">
        <v>1196</v>
      </c>
      <c r="C44" s="23" t="str">
        <f>IFERROR(__xludf.DUMMYFUNCTION("GOOGLETRANSLATE(B44, ""en"", ""fr"")"),"Caissières")</f>
        <v>Caissières</v>
      </c>
      <c r="D44" s="23" t="str">
        <f>IFERROR(__xludf.DUMMYFUNCTION("GOOGLETRANSLATE(B44, ""en"", ""es"")"),"Capas de artesanía")</f>
        <v>Capas de artesanía</v>
      </c>
      <c r="E44" s="23" t="str">
        <f>IFERROR(__xludf.DUMMYFUNCTION("GOOGLETRANSLATE(B44, ""en"", ""ru"")"),"Ремесленные плащ")</f>
        <v>Ремесленные плащ</v>
      </c>
      <c r="F44" s="23" t="str">
        <f>IFERROR(__xludf.DUMMYFUNCTION("GOOGLETRANSLATE(B44, ""en"", ""tr"")"),"Zanaat pelerinler")</f>
        <v>Zanaat pelerinler</v>
      </c>
      <c r="G44" s="23" t="str">
        <f>IFERROR(__xludf.DUMMYFUNCTION("GOOGLETRANSLATE(B44, ""en"", ""pt"")"),"Mantos artesanais")</f>
        <v>Mantos artesanais</v>
      </c>
      <c r="H44" s="24" t="str">
        <f>IFERROR(__xludf.DUMMYFUNCTION("GOOGLETRANSLATE(B44, ""en"", ""de"")"),"Handwerksummantel")</f>
        <v>Handwerksummantel</v>
      </c>
      <c r="I44" s="23" t="str">
        <f>IFERROR(__xludf.DUMMYFUNCTION("GOOGLETRANSLATE(B44, ""en"", ""pl"")"),"Płaszcze rzemieślnicze")</f>
        <v>Płaszcze rzemieślnicze</v>
      </c>
      <c r="J44" s="25" t="str">
        <f>IFERROR(__xludf.DUMMYFUNCTION("GOOGLETRANSLATE(B44, ""en"", ""zh"")"),"手工斗篷")</f>
        <v>手工斗篷</v>
      </c>
      <c r="K44" s="25" t="str">
        <f>IFERROR(__xludf.DUMMYFUNCTION("GOOGLETRANSLATE(B44, ""en"", ""vi"")"),"Áo choàng thủ công")</f>
        <v>Áo choàng thủ công</v>
      </c>
      <c r="L44" s="42" t="str">
        <f>IFERROR(__xludf.DUMMYFUNCTION("GOOGLETRANSLATE(B44, ""en"", ""hr"")"),"Zanatski ogrtači")</f>
        <v>Zanatski ogrtači</v>
      </c>
      <c r="M44" s="26"/>
      <c r="N44" s="26"/>
      <c r="O44" s="26"/>
      <c r="P44" s="26"/>
      <c r="Q44" s="26"/>
      <c r="R44" s="26"/>
      <c r="S44" s="26"/>
      <c r="T44" s="26"/>
      <c r="U44" s="26"/>
      <c r="V44" s="26"/>
      <c r="W44" s="26"/>
      <c r="X44" s="26"/>
      <c r="Y44" s="26"/>
      <c r="Z44" s="26"/>
      <c r="AA44" s="26"/>
      <c r="AB44" s="26"/>
    </row>
    <row r="45">
      <c r="A45" s="21" t="s">
        <v>1197</v>
      </c>
      <c r="B45" s="22" t="s">
        <v>1198</v>
      </c>
      <c r="C45" s="23" t="str">
        <f>IFERROR(__xludf.DUMMYFUNCTION("GOOGLETRANSLATE(B45, ""en"", ""fr"")"),"Robes artisanales")</f>
        <v>Robes artisanales</v>
      </c>
      <c r="D45" s="23" t="str">
        <f>IFERROR(__xludf.DUMMYFUNCTION("GOOGLETRANSLATE(B45, ""en"", ""es"")"),"Túnicas artesanales")</f>
        <v>Túnicas artesanales</v>
      </c>
      <c r="E45" s="23" t="str">
        <f>IFERROR(__xludf.DUMMYFUNCTION("GOOGLETRANSLATE(B45, ""en"", ""ru"")"),"Ремесленные одежды")</f>
        <v>Ремесленные одежды</v>
      </c>
      <c r="F45" s="23" t="str">
        <f>IFERROR(__xludf.DUMMYFUNCTION("GOOGLETRANSLATE(B45, ""en"", ""tr"")"),"Zanaat cüppeleri")</f>
        <v>Zanaat cüppeleri</v>
      </c>
      <c r="G45" s="23" t="str">
        <f>IFERROR(__xludf.DUMMYFUNCTION("GOOGLETRANSLATE(B45, ""en"", ""pt"")"),"Restas de artesanato")</f>
        <v>Restas de artesanato</v>
      </c>
      <c r="H45" s="24" t="str">
        <f>IFERROR(__xludf.DUMMYFUNCTION("GOOGLETRANSLATE(B45, ""en"", ""de"")"),"Roben basteln")</f>
        <v>Roben basteln</v>
      </c>
      <c r="I45" s="23" t="str">
        <f>IFERROR(__xludf.DUMMYFUNCTION("GOOGLETRANSLATE(B45, ""en"", ""pl"")"),"Szaty rzemieślnicze")</f>
        <v>Szaty rzemieślnicze</v>
      </c>
      <c r="J45" s="25" t="str">
        <f>IFERROR(__xludf.DUMMYFUNCTION("GOOGLETRANSLATE(B45, ""en"", ""zh"")"),"手工长袍")</f>
        <v>手工长袍</v>
      </c>
      <c r="K45" s="25" t="str">
        <f>IFERROR(__xludf.DUMMYFUNCTION("GOOGLETRANSLATE(B45, ""en"", ""vi"")"),"Áo choàng thủ công")</f>
        <v>Áo choàng thủ công</v>
      </c>
      <c r="L45" s="42" t="str">
        <f>IFERROR(__xludf.DUMMYFUNCTION("GOOGLETRANSLATE(B45, ""en"", ""hr"")"),"Zanatske haljine")</f>
        <v>Zanatske haljine</v>
      </c>
      <c r="M45" s="26"/>
      <c r="N45" s="26"/>
      <c r="O45" s="26"/>
      <c r="P45" s="26"/>
      <c r="Q45" s="26"/>
      <c r="R45" s="26"/>
      <c r="S45" s="26"/>
      <c r="T45" s="26"/>
      <c r="U45" s="26"/>
      <c r="V45" s="26"/>
      <c r="W45" s="26"/>
      <c r="X45" s="26"/>
      <c r="Y45" s="26"/>
      <c r="Z45" s="26"/>
      <c r="AA45" s="26"/>
      <c r="AB45" s="26"/>
    </row>
    <row r="46">
      <c r="A46" s="21" t="s">
        <v>1199</v>
      </c>
      <c r="B46" s="22" t="s">
        <v>1200</v>
      </c>
      <c r="C46" s="23" t="str">
        <f>IFERROR(__xludf.DUMMYFUNCTION("GOOGLETRANSLATE(B46, ""en"", ""fr"")"),"Artisanat en fer")</f>
        <v>Artisanat en fer</v>
      </c>
      <c r="D46" s="23" t="str">
        <f>IFERROR(__xludf.DUMMYFUNCTION("GOOGLETRANSLATE(B46, ""en"", ""es"")"),"Arrancar equipo de hierro")</f>
        <v>Arrancar equipo de hierro</v>
      </c>
      <c r="E46" s="23" t="str">
        <f>IFERROR(__xludf.DUMMYFUNCTION("GOOGLETRANSLATE(B46, ""en"", ""ru"")"),"Крафт Железного зубчатого колеса")</f>
        <v>Крафт Железного зубчатого колеса</v>
      </c>
      <c r="F46" s="23" t="str">
        <f>IFERROR(__xludf.DUMMYFUNCTION("GOOGLETRANSLATE(B46, ""en"", ""tr"")"),"Zanaat demir dişli")</f>
        <v>Zanaat demir dişli</v>
      </c>
      <c r="G46" s="23" t="str">
        <f>IFERROR(__xludf.DUMMYFUNCTION("GOOGLETRANSLATE(B46, ""en"", ""pt"")"),"Equipamento de ferro artesanal")</f>
        <v>Equipamento de ferro artesanal</v>
      </c>
      <c r="H46" s="24" t="str">
        <f>IFERROR(__xludf.DUMMYFUNCTION("GOOGLETRANSLATE(B46, ""en"", ""de"")"),"Bastelausrüstung")</f>
        <v>Bastelausrüstung</v>
      </c>
      <c r="I46" s="23" t="str">
        <f>IFERROR(__xludf.DUMMYFUNCTION("GOOGLETRANSLATE(B46, ""en"", ""pl"")"),"Craft Iron Gear")</f>
        <v>Craft Iron Gear</v>
      </c>
      <c r="J46" s="25" t="str">
        <f>IFERROR(__xludf.DUMMYFUNCTION("GOOGLETRANSLATE(B46, ""en"", ""zh"")"),"工艺铁器")</f>
        <v>工艺铁器</v>
      </c>
      <c r="K46" s="25" t="str">
        <f>IFERROR(__xludf.DUMMYFUNCTION("GOOGLETRANSLATE(B46, ""en"", ""vi"")"),"Thiết bị sắt thủ công")</f>
        <v>Thiết bị sắt thủ công</v>
      </c>
      <c r="L46" s="42" t="str">
        <f>IFERROR(__xludf.DUMMYFUNCTION("GOOGLETRANSLATE(B46, ""en"", ""hr"")"),"Zanatska željezna zupčanica")</f>
        <v>Zanatska željezna zupčanica</v>
      </c>
      <c r="M46" s="26"/>
      <c r="N46" s="26"/>
      <c r="O46" s="26"/>
      <c r="P46" s="26"/>
      <c r="Q46" s="26"/>
      <c r="R46" s="26"/>
      <c r="S46" s="26"/>
      <c r="T46" s="26"/>
      <c r="U46" s="26"/>
      <c r="V46" s="26"/>
      <c r="W46" s="26"/>
      <c r="X46" s="26"/>
      <c r="Y46" s="26"/>
      <c r="Z46" s="26"/>
      <c r="AA46" s="26"/>
      <c r="AB46" s="26"/>
    </row>
    <row r="47">
      <c r="A47" s="21" t="s">
        <v>1201</v>
      </c>
      <c r="B47" s="22" t="s">
        <v>1202</v>
      </c>
      <c r="C47" s="23" t="str">
        <f>IFERROR(__xludf.DUMMYFUNCTION("GOOGLETRANSLATE(B47, ""en"", ""fr"")"),"Artisanat du dungium")</f>
        <v>Artisanat du dungium</v>
      </c>
      <c r="D47" s="23" t="str">
        <f>IFERROR(__xludf.DUMMYFUNCTION("GOOGLETRANSLATE(B47, ""en"", ""es"")"),"Equipo de Dungium artesanal")</f>
        <v>Equipo de Dungium artesanal</v>
      </c>
      <c r="E47" s="23" t="str">
        <f>IFERROR(__xludf.DUMMYFUNCTION("GOOGLETRANSLATE(B47, ""en"", ""ru"")"),"Ремесленное оборудование")</f>
        <v>Ремесленное оборудование</v>
      </c>
      <c r="F47" s="23" t="str">
        <f>IFERROR(__xludf.DUMMYFUNCTION("GOOGLETRANSLATE(B47, ""en"", ""tr"")"),"Zanaat objium dişli")</f>
        <v>Zanaat objium dişli</v>
      </c>
      <c r="G47" s="23" t="str">
        <f>IFERROR(__xludf.DUMMYFUNCTION("GOOGLETRANSLATE(B47, ""en"", ""pt"")"),"Equipamento de dungium artesanal")</f>
        <v>Equipamento de dungium artesanal</v>
      </c>
      <c r="H47" s="24" t="str">
        <f>IFERROR(__xludf.DUMMYFUNCTION("GOOGLETRANSLATE(B47, ""en"", ""de"")"),"Basteldungiumausrüstung")</f>
        <v>Basteldungiumausrüstung</v>
      </c>
      <c r="I47" s="23" t="str">
        <f>IFERROR(__xludf.DUMMYFUNCTION("GOOGLETRANSLATE(B47, ""en"", ""pl"")"),"Rzemiosło sprzęt dungium")</f>
        <v>Rzemiosło sprzęt dungium</v>
      </c>
      <c r="J47" s="25" t="str">
        <f>IFERROR(__xludf.DUMMYFUNCTION("GOOGLETRANSLATE(B47, ""en"", ""zh"")"),"工艺丘陵齿轮")</f>
        <v>工艺丘陵齿轮</v>
      </c>
      <c r="K47" s="25" t="str">
        <f>IFERROR(__xludf.DUMMYFUNCTION("GOOGLETRANSLATE(B47, ""en"", ""vi"")"),"Thủ công Dungium Gear")</f>
        <v>Thủ công Dungium Gear</v>
      </c>
      <c r="L47" s="42" t="str">
        <f>IFERROR(__xludf.DUMMYFUNCTION("GOOGLETRANSLATE(B47, ""en"", ""hr"")"),"Craft Dungium zupčanik")</f>
        <v>Craft Dungium zupčanik</v>
      </c>
      <c r="M47" s="26"/>
      <c r="N47" s="26"/>
      <c r="O47" s="26"/>
      <c r="P47" s="26"/>
      <c r="Q47" s="26"/>
      <c r="R47" s="26"/>
      <c r="S47" s="26"/>
      <c r="T47" s="26"/>
      <c r="U47" s="26"/>
      <c r="V47" s="26"/>
      <c r="W47" s="26"/>
      <c r="X47" s="26"/>
      <c r="Y47" s="26"/>
      <c r="Z47" s="26"/>
      <c r="AA47" s="26"/>
      <c r="AB47" s="26"/>
    </row>
    <row r="48">
      <c r="A48" s="21" t="s">
        <v>1203</v>
      </c>
      <c r="B48" s="22" t="s">
        <v>1204</v>
      </c>
      <c r="C48" s="23" t="str">
        <f>IFERROR(__xludf.DUMMYFUNCTION("GOOGLETRANSLATE(B48, ""en"", ""fr"")"),"Équipement agonite artisanale")</f>
        <v>Équipement agonite artisanale</v>
      </c>
      <c r="D48" s="23" t="str">
        <f>IFERROR(__xludf.DUMMYFUNCTION("GOOGLETRANSLATE(B48, ""en"", ""es"")"),"Arrancar equipo de agonita")</f>
        <v>Arrancar equipo de agonita</v>
      </c>
      <c r="E48" s="23" t="str">
        <f>IFERROR(__xludf.DUMMYFUNCTION("GOOGLETRANSLATE(B48, ""en"", ""ru"")"),"Ремесло агонитовое снаряжение")</f>
        <v>Ремесло агонитовое снаряжение</v>
      </c>
      <c r="F48" s="23" t="str">
        <f>IFERROR(__xludf.DUMMYFUNCTION("GOOGLETRANSLATE(B48, ""en"", ""tr"")"),"Zanaat agonit dişli")</f>
        <v>Zanaat agonit dişli</v>
      </c>
      <c r="G48" s="23" t="str">
        <f>IFERROR(__xludf.DUMMYFUNCTION("GOOGLETRANSLATE(B48, ""en"", ""pt"")"),"Engrenagem de agonita artesanal")</f>
        <v>Engrenagem de agonita artesanal</v>
      </c>
      <c r="H48" s="24" t="str">
        <f>IFERROR(__xludf.DUMMYFUNCTION("GOOGLETRANSLATE(B48, ""en"", ""de"")"),"Handwerk agonite Ausrüstung")</f>
        <v>Handwerk agonite Ausrüstung</v>
      </c>
      <c r="I48" s="23" t="str">
        <f>IFERROR(__xludf.DUMMYFUNCTION("GOOGLETRANSLATE(B48, ""en"", ""pl"")"),"Sprzęt do agonitu rzemieślniczego")</f>
        <v>Sprzęt do agonitu rzemieślniczego</v>
      </c>
      <c r="J48" s="25" t="str">
        <f>IFERROR(__xludf.DUMMYFUNCTION("GOOGLETRANSLATE(B48, ""en"", ""zh"")"),"工艺激动剂装备")</f>
        <v>工艺激动剂装备</v>
      </c>
      <c r="K48" s="25" t="str">
        <f>IFERROR(__xludf.DUMMYFUNCTION("GOOGLETRANSLATE(B48, ""en"", ""vi"")"),"Craft Agonite Gear")</f>
        <v>Craft Agonite Gear</v>
      </c>
      <c r="L48" s="42" t="str">
        <f>IFERROR(__xludf.DUMMYFUNCTION("GOOGLETRANSLATE(B48, ""en"", ""hr"")"),"Zanatska agonitna oprema")</f>
        <v>Zanatska agonitna oprema</v>
      </c>
      <c r="M48" s="26"/>
      <c r="N48" s="26"/>
      <c r="O48" s="26"/>
      <c r="P48" s="26"/>
      <c r="Q48" s="26"/>
      <c r="R48" s="26"/>
      <c r="S48" s="26"/>
      <c r="T48" s="26"/>
      <c r="U48" s="26"/>
      <c r="V48" s="26"/>
      <c r="W48" s="26"/>
      <c r="X48" s="26"/>
      <c r="Y48" s="26"/>
      <c r="Z48" s="26"/>
      <c r="AA48" s="26"/>
      <c r="AB48" s="26"/>
    </row>
    <row r="49">
      <c r="A49" s="21" t="s">
        <v>1205</v>
      </c>
      <c r="B49" s="22" t="s">
        <v>1206</v>
      </c>
      <c r="C49" s="23" t="str">
        <f>IFERROR(__xludf.DUMMYFUNCTION("GOOGLETRANSLATE(B49, ""en"", ""fr"")"),"Craquer des équipements noctis")</f>
        <v>Craquer des équipements noctis</v>
      </c>
      <c r="D49" s="23" t="str">
        <f>IFERROR(__xludf.DUMMYFUNCTION("GOOGLETRANSLATE(B49, ""en"", ""es"")"),"Artesanía artesanal")</f>
        <v>Artesanía artesanal</v>
      </c>
      <c r="E49" s="23" t="str">
        <f>IFERROR(__xludf.DUMMYFUNCTION("GOOGLETRANSLATE(B49, ""en"", ""ru"")"),"Ремесло Noctis Gear")</f>
        <v>Ремесло Noctis Gear</v>
      </c>
      <c r="F49" s="23" t="str">
        <f>IFERROR(__xludf.DUMMYFUNCTION("GOOGLETRANSLATE(B49, ""en"", ""tr"")"),"Zanaat noctis teçhizatı")</f>
        <v>Zanaat noctis teçhizatı</v>
      </c>
      <c r="G49" s="23" t="str">
        <f>IFERROR(__xludf.DUMMYFUNCTION("GOOGLETRANSLATE(B49, ""en"", ""pt"")"),"Artesanato noctis equipamento")</f>
        <v>Artesanato noctis equipamento</v>
      </c>
      <c r="H49" s="24" t="str">
        <f>IFERROR(__xludf.DUMMYFUNCTION("GOOGLETRANSLATE(B49, ""en"", ""de"")"),"Handwerksnoctis -Ausrüstung")</f>
        <v>Handwerksnoctis -Ausrüstung</v>
      </c>
      <c r="I49" s="23" t="str">
        <f>IFERROR(__xludf.DUMMYFUNCTION("GOOGLETRANSLATE(B49, ""en"", ""pl"")"),"Rzemiosło sprzęt Noctis")</f>
        <v>Rzemiosło sprzęt Noctis</v>
      </c>
      <c r="J49" s="25" t="str">
        <f>IFERROR(__xludf.DUMMYFUNCTION("GOOGLETRANSLATE(B49, ""en"", ""zh"")"),"工艺noctis齿轮")</f>
        <v>工艺noctis齿轮</v>
      </c>
      <c r="K49" s="25" t="str">
        <f>IFERROR(__xludf.DUMMYFUNCTION("GOOGLETRANSLATE(B49, ""en"", ""vi"")"),"Craft Noctis Gear")</f>
        <v>Craft Noctis Gear</v>
      </c>
      <c r="L49" s="42" t="str">
        <f>IFERROR(__xludf.DUMMYFUNCTION("GOOGLETRANSLATE(B49, ""en"", ""hr"")"),"Craft noctis oprema")</f>
        <v>Craft noctis oprema</v>
      </c>
      <c r="M49" s="26"/>
      <c r="N49" s="26"/>
      <c r="O49" s="26"/>
      <c r="P49" s="26"/>
      <c r="Q49" s="26"/>
      <c r="R49" s="26"/>
      <c r="S49" s="26"/>
      <c r="T49" s="26"/>
      <c r="U49" s="26"/>
      <c r="V49" s="26"/>
      <c r="W49" s="26"/>
      <c r="X49" s="26"/>
      <c r="Y49" s="26"/>
      <c r="Z49" s="26"/>
      <c r="AA49" s="26"/>
      <c r="AB49" s="26"/>
    </row>
    <row r="50">
      <c r="A50" s="21" t="s">
        <v>1207</v>
      </c>
      <c r="B50" s="22" t="s">
        <v>1208</v>
      </c>
      <c r="C50" s="23" t="str">
        <f>IFERROR(__xludf.DUMMYFUNCTION("GOOGLETRANSLATE(B50, ""en"", ""fr"")"),"Artisanat d'équipement en tissu")</f>
        <v>Artisanat d'équipement en tissu</v>
      </c>
      <c r="D50" s="23" t="str">
        <f>IFERROR(__xludf.DUMMYFUNCTION("GOOGLETRANSLATE(B50, ""en"", ""es"")"),"Equipo de tela artesanal")</f>
        <v>Equipo de tela artesanal</v>
      </c>
      <c r="E50" s="23" t="str">
        <f>IFERROR(__xludf.DUMMYFUNCTION("GOOGLETRANSLATE(B50, ""en"", ""ru"")"),"Ремесленная ткань")</f>
        <v>Ремесленная ткань</v>
      </c>
      <c r="F50" s="23" t="str">
        <f>IFERROR(__xludf.DUMMYFUNCTION("GOOGLETRANSLATE(B50, ""en"", ""tr"")"),"Zanaat kumaş dişli")</f>
        <v>Zanaat kumaş dişli</v>
      </c>
      <c r="G50" s="23" t="str">
        <f>IFERROR(__xludf.DUMMYFUNCTION("GOOGLETRANSLATE(B50, ""en"", ""pt"")"),"Equipamento de tecido artesanal")</f>
        <v>Equipamento de tecido artesanal</v>
      </c>
      <c r="H50" s="24" t="str">
        <f>IFERROR(__xludf.DUMMYFUNCTION("GOOGLETRANSLATE(B50, ""en"", ""de"")"),"Bastelstoffausrüstung")</f>
        <v>Bastelstoffausrüstung</v>
      </c>
      <c r="I50" s="23" t="str">
        <f>IFERROR(__xludf.DUMMYFUNCTION("GOOGLETRANSLATE(B50, ""en"", ""pl"")"),"Sprzęt do tkaniny rzemieślniczej")</f>
        <v>Sprzęt do tkaniny rzemieślniczej</v>
      </c>
      <c r="J50" s="25" t="str">
        <f>IFERROR(__xludf.DUMMYFUNCTION("GOOGLETRANSLATE(B50, ""en"", ""zh"")"),"工艺织物装备")</f>
        <v>工艺织物装备</v>
      </c>
      <c r="K50" s="25" t="str">
        <f>IFERROR(__xludf.DUMMYFUNCTION("GOOGLETRANSLATE(B50, ""en"", ""vi"")"),"Thiết bị vải thủ công")</f>
        <v>Thiết bị vải thủ công</v>
      </c>
      <c r="L50" s="42" t="str">
        <f>IFERROR(__xludf.DUMMYFUNCTION("GOOGLETRANSLATE(B50, ""en"", ""hr"")"),"Zupčanica")</f>
        <v>Zupčanica</v>
      </c>
      <c r="M50" s="26"/>
      <c r="N50" s="26"/>
      <c r="O50" s="26"/>
      <c r="P50" s="26"/>
      <c r="Q50" s="26"/>
      <c r="R50" s="26"/>
      <c r="S50" s="26"/>
      <c r="T50" s="26"/>
      <c r="U50" s="26"/>
      <c r="V50" s="26"/>
      <c r="W50" s="26"/>
      <c r="X50" s="26"/>
      <c r="Y50" s="26"/>
      <c r="Z50" s="26"/>
      <c r="AA50" s="26"/>
      <c r="AB50" s="26"/>
    </row>
    <row r="51">
      <c r="A51" s="21" t="s">
        <v>1209</v>
      </c>
      <c r="B51" s="22" t="s">
        <v>1210</v>
      </c>
      <c r="C51" s="23" t="str">
        <f>IFERROR(__xludf.DUMMYFUNCTION("GOOGLETRANSLATE(B51, ""en"", ""fr"")"),"Potions artisanales")</f>
        <v>Potions artisanales</v>
      </c>
      <c r="D51" s="23" t="str">
        <f>IFERROR(__xludf.DUMMYFUNCTION("GOOGLETRANSLATE(B51, ""en"", ""es"")"),"Pociones de artesanía")</f>
        <v>Pociones de artesanía</v>
      </c>
      <c r="E51" s="23" t="str">
        <f>IFERROR(__xludf.DUMMYFUNCTION("GOOGLETRANSLATE(B51, ""en"", ""ru"")"),"Ремесленные зелья")</f>
        <v>Ремесленные зелья</v>
      </c>
      <c r="F51" s="23" t="str">
        <f>IFERROR(__xludf.DUMMYFUNCTION("GOOGLETRANSLATE(B51, ""en"", ""tr"")"),"Zanaat iksirleri")</f>
        <v>Zanaat iksirleri</v>
      </c>
      <c r="G51" s="23" t="str">
        <f>IFERROR(__xludf.DUMMYFUNCTION("GOOGLETRANSLATE(B51, ""en"", ""pt"")"),"Poções artesanais")</f>
        <v>Poções artesanais</v>
      </c>
      <c r="H51" s="24" t="str">
        <f>IFERROR(__xludf.DUMMYFUNCTION("GOOGLETRANSLATE(B51, ""en"", ""de"")"),"Basteltränke")</f>
        <v>Basteltränke</v>
      </c>
      <c r="I51" s="23" t="str">
        <f>IFERROR(__xludf.DUMMYFUNCTION("GOOGLETRANSLATE(B51, ""en"", ""pl"")"),"Mikstury rzemieślnicze")</f>
        <v>Mikstury rzemieślnicze</v>
      </c>
      <c r="J51" s="25" t="str">
        <f>IFERROR(__xludf.DUMMYFUNCTION("GOOGLETRANSLATE(B51, ""en"", ""zh"")"),"手工药水")</f>
        <v>手工药水</v>
      </c>
      <c r="K51" s="25" t="str">
        <f>IFERROR(__xludf.DUMMYFUNCTION("GOOGLETRANSLATE(B51, ""en"", ""vi"")"),"Độc dược thủ công")</f>
        <v>Độc dược thủ công</v>
      </c>
      <c r="L51" s="42" t="str">
        <f>IFERROR(__xludf.DUMMYFUNCTION("GOOGLETRANSLATE(B51, ""en"", ""hr"")"),"Zanatske napitke")</f>
        <v>Zanatske napitke</v>
      </c>
      <c r="M51" s="26"/>
      <c r="N51" s="26"/>
      <c r="O51" s="26"/>
      <c r="P51" s="26"/>
      <c r="Q51" s="26"/>
      <c r="R51" s="26"/>
      <c r="S51" s="26"/>
      <c r="T51" s="26"/>
      <c r="U51" s="26"/>
      <c r="V51" s="26"/>
      <c r="W51" s="26"/>
      <c r="X51" s="26"/>
      <c r="Y51" s="26"/>
      <c r="Z51" s="26"/>
      <c r="AA51" s="26"/>
      <c r="AB51" s="26"/>
    </row>
    <row r="52">
      <c r="A52" s="34"/>
      <c r="B52" s="35"/>
      <c r="C52" s="30"/>
      <c r="D52" s="30"/>
      <c r="E52" s="30"/>
      <c r="F52" s="30"/>
      <c r="G52" s="30"/>
      <c r="H52" s="31"/>
      <c r="I52" s="30"/>
      <c r="J52" s="32"/>
      <c r="K52" s="32"/>
      <c r="L52" s="47"/>
      <c r="M52" s="26"/>
      <c r="N52" s="26"/>
      <c r="O52" s="26"/>
      <c r="P52" s="26"/>
      <c r="Q52" s="26"/>
      <c r="R52" s="26"/>
      <c r="S52" s="26"/>
      <c r="T52" s="26"/>
      <c r="U52" s="26"/>
      <c r="V52" s="26"/>
      <c r="W52" s="26"/>
      <c r="X52" s="26"/>
      <c r="Y52" s="26"/>
      <c r="Z52" s="26"/>
      <c r="AA52" s="26"/>
      <c r="AB52" s="26"/>
    </row>
    <row r="53">
      <c r="A53" s="34"/>
      <c r="B53" s="35"/>
      <c r="C53" s="30"/>
      <c r="D53" s="30"/>
      <c r="E53" s="30"/>
      <c r="F53" s="30"/>
      <c r="G53" s="30"/>
      <c r="H53" s="31"/>
      <c r="I53" s="30"/>
      <c r="J53" s="32"/>
      <c r="K53" s="32"/>
      <c r="L53" s="47"/>
      <c r="M53" s="26"/>
      <c r="N53" s="26"/>
      <c r="O53" s="26"/>
      <c r="P53" s="26"/>
      <c r="Q53" s="26"/>
      <c r="R53" s="26"/>
      <c r="S53" s="26"/>
      <c r="T53" s="26"/>
      <c r="U53" s="26"/>
      <c r="V53" s="26"/>
      <c r="W53" s="26"/>
      <c r="X53" s="26"/>
      <c r="Y53" s="26"/>
      <c r="Z53" s="26"/>
      <c r="AA53" s="26"/>
      <c r="AB53" s="26"/>
    </row>
    <row r="54">
      <c r="A54" s="34"/>
      <c r="B54" s="35"/>
      <c r="C54" s="30"/>
      <c r="D54" s="30"/>
      <c r="E54" s="30"/>
      <c r="F54" s="30"/>
      <c r="G54" s="30"/>
      <c r="H54" s="31"/>
      <c r="I54" s="30"/>
      <c r="J54" s="32"/>
      <c r="K54" s="32"/>
      <c r="L54" s="47"/>
      <c r="M54" s="26"/>
      <c r="N54" s="26"/>
      <c r="O54" s="26"/>
      <c r="P54" s="26"/>
      <c r="Q54" s="26"/>
      <c r="R54" s="26"/>
      <c r="S54" s="26"/>
      <c r="T54" s="26"/>
      <c r="U54" s="26"/>
      <c r="V54" s="26"/>
      <c r="W54" s="26"/>
      <c r="X54" s="26"/>
      <c r="Y54" s="26"/>
      <c r="Z54" s="26"/>
      <c r="AA54" s="26"/>
      <c r="AB54" s="26"/>
    </row>
    <row r="55">
      <c r="A55" s="34"/>
      <c r="B55" s="35"/>
      <c r="C55" s="30"/>
      <c r="D55" s="30"/>
      <c r="E55" s="30"/>
      <c r="F55" s="30"/>
      <c r="G55" s="30"/>
      <c r="H55" s="31"/>
      <c r="I55" s="30"/>
      <c r="J55" s="32"/>
      <c r="K55" s="32"/>
      <c r="L55" s="47"/>
      <c r="M55" s="26"/>
      <c r="N55" s="26"/>
      <c r="O55" s="26"/>
      <c r="P55" s="26"/>
      <c r="Q55" s="26"/>
      <c r="R55" s="26"/>
      <c r="S55" s="26"/>
      <c r="T55" s="26"/>
      <c r="U55" s="26"/>
      <c r="V55" s="26"/>
      <c r="W55" s="26"/>
      <c r="X55" s="26"/>
      <c r="Y55" s="26"/>
      <c r="Z55" s="26"/>
      <c r="AA55" s="26"/>
      <c r="AB55" s="26"/>
    </row>
    <row r="56">
      <c r="A56" s="34"/>
      <c r="B56" s="35"/>
      <c r="C56" s="30"/>
      <c r="D56" s="30"/>
      <c r="E56" s="30"/>
      <c r="F56" s="30"/>
      <c r="G56" s="30"/>
      <c r="H56" s="31"/>
      <c r="I56" s="30"/>
      <c r="J56" s="32"/>
      <c r="K56" s="32"/>
      <c r="L56" s="47"/>
      <c r="M56" s="26"/>
      <c r="N56" s="26"/>
      <c r="O56" s="26"/>
      <c r="P56" s="26"/>
      <c r="Q56" s="26"/>
      <c r="R56" s="26"/>
      <c r="S56" s="26"/>
      <c r="T56" s="26"/>
      <c r="U56" s="26"/>
      <c r="V56" s="26"/>
      <c r="W56" s="26"/>
      <c r="X56" s="26"/>
      <c r="Y56" s="26"/>
      <c r="Z56" s="26"/>
      <c r="AA56" s="26"/>
      <c r="AB56" s="26"/>
    </row>
    <row r="57">
      <c r="A57" s="34"/>
      <c r="B57" s="35"/>
      <c r="C57" s="30"/>
      <c r="D57" s="30"/>
      <c r="E57" s="30"/>
      <c r="F57" s="30"/>
      <c r="G57" s="30"/>
      <c r="H57" s="31"/>
      <c r="I57" s="30"/>
      <c r="J57" s="32"/>
      <c r="K57" s="32"/>
      <c r="L57" s="47"/>
      <c r="M57" s="26"/>
      <c r="N57" s="26"/>
      <c r="O57" s="26"/>
      <c r="P57" s="26"/>
      <c r="Q57" s="26"/>
      <c r="R57" s="26"/>
      <c r="S57" s="26"/>
      <c r="T57" s="26"/>
      <c r="U57" s="26"/>
      <c r="V57" s="26"/>
      <c r="W57" s="26"/>
      <c r="X57" s="26"/>
      <c r="Y57" s="26"/>
      <c r="Z57" s="26"/>
      <c r="AA57" s="26"/>
      <c r="AB57" s="26"/>
    </row>
    <row r="58">
      <c r="A58" s="34"/>
      <c r="B58" s="35"/>
      <c r="C58" s="30"/>
      <c r="D58" s="30"/>
      <c r="E58" s="30"/>
      <c r="F58" s="30"/>
      <c r="G58" s="30"/>
      <c r="H58" s="31"/>
      <c r="I58" s="30"/>
      <c r="J58" s="32"/>
      <c r="K58" s="32"/>
      <c r="L58" s="47"/>
      <c r="M58" s="26"/>
      <c r="N58" s="26"/>
      <c r="O58" s="26"/>
      <c r="P58" s="26"/>
      <c r="Q58" s="26"/>
      <c r="R58" s="26"/>
      <c r="S58" s="26"/>
      <c r="T58" s="26"/>
      <c r="U58" s="26"/>
      <c r="V58" s="26"/>
      <c r="W58" s="26"/>
      <c r="X58" s="26"/>
      <c r="Y58" s="26"/>
      <c r="Z58" s="26"/>
      <c r="AA58" s="26"/>
      <c r="AB58" s="26"/>
    </row>
    <row r="59">
      <c r="A59" s="34"/>
      <c r="B59" s="35"/>
      <c r="C59" s="30"/>
      <c r="D59" s="30"/>
      <c r="E59" s="30"/>
      <c r="F59" s="30"/>
      <c r="G59" s="30"/>
      <c r="H59" s="31"/>
      <c r="I59" s="30"/>
      <c r="J59" s="32"/>
      <c r="K59" s="32"/>
      <c r="L59" s="47"/>
      <c r="M59" s="26"/>
      <c r="N59" s="26"/>
      <c r="O59" s="26"/>
      <c r="P59" s="26"/>
      <c r="Q59" s="26"/>
      <c r="R59" s="26"/>
      <c r="S59" s="26"/>
      <c r="T59" s="26"/>
      <c r="U59" s="26"/>
      <c r="V59" s="26"/>
      <c r="W59" s="26"/>
      <c r="X59" s="26"/>
      <c r="Y59" s="26"/>
      <c r="Z59" s="26"/>
      <c r="AA59" s="26"/>
      <c r="AB59" s="26"/>
    </row>
    <row r="60">
      <c r="A60" s="34"/>
      <c r="B60" s="35"/>
      <c r="C60" s="30"/>
      <c r="D60" s="30"/>
      <c r="E60" s="30"/>
      <c r="F60" s="30"/>
      <c r="G60" s="30"/>
      <c r="H60" s="31"/>
      <c r="I60" s="30"/>
      <c r="J60" s="32"/>
      <c r="K60" s="32"/>
      <c r="L60" s="47"/>
      <c r="M60" s="26"/>
      <c r="N60" s="26"/>
      <c r="O60" s="26"/>
      <c r="P60" s="26"/>
      <c r="Q60" s="26"/>
      <c r="R60" s="26"/>
      <c r="S60" s="26"/>
      <c r="T60" s="26"/>
      <c r="U60" s="26"/>
      <c r="V60" s="26"/>
      <c r="W60" s="26"/>
      <c r="X60" s="26"/>
      <c r="Y60" s="26"/>
      <c r="Z60" s="26"/>
      <c r="AA60" s="26"/>
      <c r="AB60" s="26"/>
    </row>
    <row r="61">
      <c r="A61" s="34"/>
      <c r="B61" s="35"/>
      <c r="C61" s="30"/>
      <c r="D61" s="30"/>
      <c r="E61" s="30"/>
      <c r="F61" s="30"/>
      <c r="G61" s="30"/>
      <c r="H61" s="31"/>
      <c r="I61" s="30"/>
      <c r="J61" s="32"/>
      <c r="K61" s="32"/>
      <c r="L61" s="47"/>
      <c r="M61" s="26"/>
      <c r="N61" s="26"/>
      <c r="O61" s="26"/>
      <c r="P61" s="26"/>
      <c r="Q61" s="26"/>
      <c r="R61" s="26"/>
      <c r="S61" s="26"/>
      <c r="T61" s="26"/>
      <c r="U61" s="26"/>
      <c r="V61" s="26"/>
      <c r="W61" s="26"/>
      <c r="X61" s="26"/>
      <c r="Y61" s="26"/>
      <c r="Z61" s="26"/>
      <c r="AA61" s="26"/>
      <c r="AB61" s="26"/>
    </row>
    <row r="62">
      <c r="A62" s="34"/>
      <c r="B62" s="35"/>
      <c r="C62" s="30"/>
      <c r="D62" s="30"/>
      <c r="E62" s="30"/>
      <c r="F62" s="30"/>
      <c r="G62" s="30"/>
      <c r="H62" s="31"/>
      <c r="I62" s="30"/>
      <c r="J62" s="32"/>
      <c r="K62" s="32"/>
      <c r="L62" s="47"/>
      <c r="M62" s="26"/>
      <c r="N62" s="26"/>
      <c r="O62" s="26"/>
      <c r="P62" s="26"/>
      <c r="Q62" s="26"/>
      <c r="R62" s="26"/>
      <c r="S62" s="26"/>
      <c r="T62" s="26"/>
      <c r="U62" s="26"/>
      <c r="V62" s="26"/>
      <c r="W62" s="26"/>
      <c r="X62" s="26"/>
      <c r="Y62" s="26"/>
      <c r="Z62" s="26"/>
      <c r="AA62" s="26"/>
      <c r="AB62" s="26"/>
    </row>
    <row r="63">
      <c r="A63" s="34"/>
      <c r="B63" s="35"/>
      <c r="C63" s="30"/>
      <c r="D63" s="30"/>
      <c r="E63" s="30"/>
      <c r="F63" s="30"/>
      <c r="G63" s="30"/>
      <c r="H63" s="31"/>
      <c r="I63" s="30"/>
      <c r="J63" s="32"/>
      <c r="K63" s="32"/>
      <c r="L63" s="47"/>
      <c r="M63" s="26"/>
      <c r="N63" s="26"/>
      <c r="O63" s="26"/>
      <c r="P63" s="26"/>
      <c r="Q63" s="26"/>
      <c r="R63" s="26"/>
      <c r="S63" s="26"/>
      <c r="T63" s="26"/>
      <c r="U63" s="26"/>
      <c r="V63" s="26"/>
      <c r="W63" s="26"/>
      <c r="X63" s="26"/>
      <c r="Y63" s="26"/>
      <c r="Z63" s="26"/>
      <c r="AA63" s="26"/>
      <c r="AB63" s="26"/>
    </row>
    <row r="64">
      <c r="A64" s="34"/>
      <c r="B64" s="35"/>
      <c r="C64" s="30"/>
      <c r="D64" s="30"/>
      <c r="E64" s="30"/>
      <c r="F64" s="30"/>
      <c r="G64" s="30"/>
      <c r="H64" s="31"/>
      <c r="I64" s="30"/>
      <c r="J64" s="32"/>
      <c r="K64" s="32"/>
      <c r="L64" s="47"/>
      <c r="M64" s="26"/>
      <c r="N64" s="26"/>
      <c r="O64" s="26"/>
      <c r="P64" s="26"/>
      <c r="Q64" s="26"/>
      <c r="R64" s="26"/>
      <c r="S64" s="26"/>
      <c r="T64" s="26"/>
      <c r="U64" s="26"/>
      <c r="V64" s="26"/>
      <c r="W64" s="26"/>
      <c r="X64" s="26"/>
      <c r="Y64" s="26"/>
      <c r="Z64" s="26"/>
      <c r="AA64" s="26"/>
      <c r="AB64" s="26"/>
    </row>
    <row r="65">
      <c r="A65" s="34"/>
      <c r="B65" s="35"/>
      <c r="C65" s="30"/>
      <c r="D65" s="30"/>
      <c r="E65" s="30"/>
      <c r="F65" s="30"/>
      <c r="G65" s="30"/>
      <c r="H65" s="31"/>
      <c r="I65" s="30"/>
      <c r="J65" s="32"/>
      <c r="K65" s="32"/>
      <c r="L65" s="47"/>
      <c r="M65" s="26"/>
      <c r="N65" s="26"/>
      <c r="O65" s="26"/>
      <c r="P65" s="26"/>
      <c r="Q65" s="26"/>
      <c r="R65" s="26"/>
      <c r="S65" s="26"/>
      <c r="T65" s="26"/>
      <c r="U65" s="26"/>
      <c r="V65" s="26"/>
      <c r="W65" s="26"/>
      <c r="X65" s="26"/>
      <c r="Y65" s="26"/>
      <c r="Z65" s="26"/>
      <c r="AA65" s="26"/>
      <c r="AB65" s="26"/>
    </row>
    <row r="66">
      <c r="A66" s="34"/>
      <c r="B66" s="35"/>
      <c r="C66" s="30"/>
      <c r="D66" s="30"/>
      <c r="E66" s="30"/>
      <c r="F66" s="30"/>
      <c r="G66" s="30"/>
      <c r="H66" s="31"/>
      <c r="I66" s="30"/>
      <c r="J66" s="32"/>
      <c r="K66" s="32"/>
      <c r="L66" s="47"/>
      <c r="M66" s="26"/>
      <c r="N66" s="26"/>
      <c r="O66" s="26"/>
      <c r="P66" s="26"/>
      <c r="Q66" s="26"/>
      <c r="R66" s="26"/>
      <c r="S66" s="26"/>
      <c r="T66" s="26"/>
      <c r="U66" s="26"/>
      <c r="V66" s="26"/>
      <c r="W66" s="26"/>
      <c r="X66" s="26"/>
      <c r="Y66" s="26"/>
      <c r="Z66" s="26"/>
      <c r="AA66" s="26"/>
      <c r="AB66" s="26"/>
    </row>
    <row r="67">
      <c r="A67" s="34"/>
      <c r="B67" s="35"/>
      <c r="C67" s="30"/>
      <c r="D67" s="30"/>
      <c r="E67" s="30"/>
      <c r="F67" s="30"/>
      <c r="G67" s="30"/>
      <c r="H67" s="31"/>
      <c r="I67" s="30"/>
      <c r="J67" s="32"/>
      <c r="K67" s="32"/>
      <c r="L67" s="47"/>
      <c r="M67" s="26"/>
      <c r="N67" s="26"/>
      <c r="O67" s="26"/>
      <c r="P67" s="26"/>
      <c r="Q67" s="26"/>
      <c r="R67" s="26"/>
      <c r="S67" s="26"/>
      <c r="T67" s="26"/>
      <c r="U67" s="26"/>
      <c r="V67" s="26"/>
      <c r="W67" s="26"/>
      <c r="X67" s="26"/>
      <c r="Y67" s="26"/>
      <c r="Z67" s="26"/>
      <c r="AA67" s="26"/>
      <c r="AB67" s="26"/>
    </row>
    <row r="68">
      <c r="A68" s="34"/>
      <c r="B68" s="35"/>
      <c r="C68" s="30"/>
      <c r="D68" s="30"/>
      <c r="E68" s="30"/>
      <c r="F68" s="30"/>
      <c r="G68" s="30"/>
      <c r="H68" s="31"/>
      <c r="I68" s="30"/>
      <c r="J68" s="32"/>
      <c r="K68" s="32"/>
      <c r="L68" s="47"/>
      <c r="M68" s="26"/>
      <c r="N68" s="26"/>
      <c r="O68" s="26"/>
      <c r="P68" s="26"/>
      <c r="Q68" s="26"/>
      <c r="R68" s="26"/>
      <c r="S68" s="26"/>
      <c r="T68" s="26"/>
      <c r="U68" s="26"/>
      <c r="V68" s="26"/>
      <c r="W68" s="26"/>
      <c r="X68" s="26"/>
      <c r="Y68" s="26"/>
      <c r="Z68" s="26"/>
      <c r="AA68" s="26"/>
      <c r="AB68" s="26"/>
    </row>
    <row r="69">
      <c r="A69" s="34"/>
      <c r="B69" s="35"/>
      <c r="C69" s="30"/>
      <c r="D69" s="30"/>
      <c r="E69" s="30"/>
      <c r="F69" s="30"/>
      <c r="G69" s="30"/>
      <c r="H69" s="31"/>
      <c r="I69" s="30"/>
      <c r="J69" s="32"/>
      <c r="K69" s="32"/>
      <c r="L69" s="47"/>
      <c r="M69" s="26"/>
      <c r="N69" s="26"/>
      <c r="O69" s="26"/>
      <c r="P69" s="26"/>
      <c r="Q69" s="26"/>
      <c r="R69" s="26"/>
      <c r="S69" s="26"/>
      <c r="T69" s="26"/>
      <c r="U69" s="26"/>
      <c r="V69" s="26"/>
      <c r="W69" s="26"/>
      <c r="X69" s="26"/>
      <c r="Y69" s="26"/>
      <c r="Z69" s="26"/>
      <c r="AA69" s="26"/>
      <c r="AB69" s="26"/>
    </row>
    <row r="70">
      <c r="A70" s="34"/>
      <c r="B70" s="35"/>
      <c r="C70" s="30"/>
      <c r="D70" s="30"/>
      <c r="E70" s="30"/>
      <c r="F70" s="30"/>
      <c r="G70" s="30"/>
      <c r="H70" s="31"/>
      <c r="I70" s="30"/>
      <c r="J70" s="32"/>
      <c r="K70" s="32"/>
      <c r="L70" s="47"/>
      <c r="M70" s="26"/>
      <c r="N70" s="26"/>
      <c r="O70" s="26"/>
      <c r="P70" s="26"/>
      <c r="Q70" s="26"/>
      <c r="R70" s="26"/>
      <c r="S70" s="26"/>
      <c r="T70" s="26"/>
      <c r="U70" s="26"/>
      <c r="V70" s="26"/>
      <c r="W70" s="26"/>
      <c r="X70" s="26"/>
      <c r="Y70" s="26"/>
      <c r="Z70" s="26"/>
      <c r="AA70" s="26"/>
      <c r="AB70" s="26"/>
    </row>
    <row r="71">
      <c r="A71" s="34"/>
      <c r="B71" s="35"/>
      <c r="C71" s="30"/>
      <c r="D71" s="30"/>
      <c r="E71" s="30"/>
      <c r="F71" s="30"/>
      <c r="G71" s="30"/>
      <c r="H71" s="31"/>
      <c r="I71" s="30"/>
      <c r="J71" s="32"/>
      <c r="K71" s="32"/>
      <c r="L71" s="47"/>
      <c r="M71" s="26"/>
      <c r="N71" s="26"/>
      <c r="O71" s="26"/>
      <c r="P71" s="26"/>
      <c r="Q71" s="26"/>
      <c r="R71" s="26"/>
      <c r="S71" s="26"/>
      <c r="T71" s="26"/>
      <c r="U71" s="26"/>
      <c r="V71" s="26"/>
      <c r="W71" s="26"/>
      <c r="X71" s="26"/>
      <c r="Y71" s="26"/>
      <c r="Z71" s="26"/>
      <c r="AA71" s="26"/>
      <c r="AB71" s="26"/>
    </row>
    <row r="72">
      <c r="A72" s="34"/>
      <c r="B72" s="35"/>
      <c r="C72" s="30"/>
      <c r="D72" s="30"/>
      <c r="E72" s="30"/>
      <c r="F72" s="30"/>
      <c r="G72" s="30"/>
      <c r="H72" s="31"/>
      <c r="I72" s="30"/>
      <c r="J72" s="32"/>
      <c r="K72" s="32"/>
      <c r="L72" s="47"/>
      <c r="M72" s="26"/>
      <c r="N72" s="26"/>
      <c r="O72" s="26"/>
      <c r="P72" s="26"/>
      <c r="Q72" s="26"/>
      <c r="R72" s="26"/>
      <c r="S72" s="26"/>
      <c r="T72" s="26"/>
      <c r="U72" s="26"/>
      <c r="V72" s="26"/>
      <c r="W72" s="26"/>
      <c r="X72" s="26"/>
      <c r="Y72" s="26"/>
      <c r="Z72" s="26"/>
      <c r="AA72" s="26"/>
      <c r="AB72" s="26"/>
    </row>
    <row r="73">
      <c r="A73" s="34"/>
      <c r="B73" s="35"/>
      <c r="C73" s="30"/>
      <c r="D73" s="30"/>
      <c r="E73" s="30"/>
      <c r="F73" s="30"/>
      <c r="G73" s="30"/>
      <c r="H73" s="31"/>
      <c r="I73" s="30"/>
      <c r="J73" s="32"/>
      <c r="K73" s="32"/>
      <c r="L73" s="47"/>
      <c r="M73" s="26"/>
      <c r="N73" s="26"/>
      <c r="O73" s="26"/>
      <c r="P73" s="26"/>
      <c r="Q73" s="26"/>
      <c r="R73" s="26"/>
      <c r="S73" s="26"/>
      <c r="T73" s="26"/>
      <c r="U73" s="26"/>
      <c r="V73" s="26"/>
      <c r="W73" s="26"/>
      <c r="X73" s="26"/>
      <c r="Y73" s="26"/>
      <c r="Z73" s="26"/>
      <c r="AA73" s="26"/>
      <c r="AB73" s="26"/>
    </row>
    <row r="74">
      <c r="A74" s="34"/>
      <c r="B74" s="35"/>
      <c r="C74" s="30"/>
      <c r="D74" s="30"/>
      <c r="E74" s="30"/>
      <c r="F74" s="30"/>
      <c r="G74" s="30"/>
      <c r="H74" s="31"/>
      <c r="I74" s="30"/>
      <c r="J74" s="32"/>
      <c r="K74" s="32"/>
      <c r="L74" s="47"/>
      <c r="M74" s="26"/>
      <c r="N74" s="26"/>
      <c r="O74" s="26"/>
      <c r="P74" s="26"/>
      <c r="Q74" s="26"/>
      <c r="R74" s="26"/>
      <c r="S74" s="26"/>
      <c r="T74" s="26"/>
      <c r="U74" s="26"/>
      <c r="V74" s="26"/>
      <c r="W74" s="26"/>
      <c r="X74" s="26"/>
      <c r="Y74" s="26"/>
      <c r="Z74" s="26"/>
      <c r="AA74" s="26"/>
      <c r="AB74" s="26"/>
    </row>
    <row r="75">
      <c r="A75" s="34"/>
      <c r="B75" s="35"/>
      <c r="C75" s="30"/>
      <c r="D75" s="30"/>
      <c r="E75" s="30"/>
      <c r="F75" s="30"/>
      <c r="G75" s="30"/>
      <c r="H75" s="31"/>
      <c r="I75" s="30"/>
      <c r="J75" s="32"/>
      <c r="K75" s="32"/>
      <c r="L75" s="47"/>
      <c r="M75" s="26"/>
      <c r="N75" s="26"/>
      <c r="O75" s="26"/>
      <c r="P75" s="26"/>
      <c r="Q75" s="26"/>
      <c r="R75" s="26"/>
      <c r="S75" s="26"/>
      <c r="T75" s="26"/>
      <c r="U75" s="26"/>
      <c r="V75" s="26"/>
      <c r="W75" s="26"/>
      <c r="X75" s="26"/>
      <c r="Y75" s="26"/>
      <c r="Z75" s="26"/>
      <c r="AA75" s="26"/>
      <c r="AB75" s="26"/>
    </row>
    <row r="76">
      <c r="A76" s="34"/>
      <c r="B76" s="35"/>
      <c r="C76" s="30"/>
      <c r="D76" s="30"/>
      <c r="E76" s="30"/>
      <c r="F76" s="30"/>
      <c r="G76" s="30"/>
      <c r="H76" s="31"/>
      <c r="I76" s="30"/>
      <c r="J76" s="32"/>
      <c r="K76" s="32"/>
      <c r="L76" s="47"/>
      <c r="M76" s="26"/>
      <c r="N76" s="26"/>
      <c r="O76" s="26"/>
      <c r="P76" s="26"/>
      <c r="Q76" s="26"/>
      <c r="R76" s="26"/>
      <c r="S76" s="26"/>
      <c r="T76" s="26"/>
      <c r="U76" s="26"/>
      <c r="V76" s="26"/>
      <c r="W76" s="26"/>
      <c r="X76" s="26"/>
      <c r="Y76" s="26"/>
      <c r="Z76" s="26"/>
      <c r="AA76" s="26"/>
      <c r="AB76" s="26"/>
    </row>
    <row r="77">
      <c r="A77" s="34"/>
      <c r="B77" s="35"/>
      <c r="C77" s="30"/>
      <c r="D77" s="30"/>
      <c r="E77" s="30"/>
      <c r="F77" s="30"/>
      <c r="G77" s="30"/>
      <c r="H77" s="31"/>
      <c r="I77" s="30"/>
      <c r="J77" s="32"/>
      <c r="K77" s="32"/>
      <c r="L77" s="47"/>
      <c r="M77" s="26"/>
      <c r="N77" s="26"/>
      <c r="O77" s="26"/>
      <c r="P77" s="26"/>
      <c r="Q77" s="26"/>
      <c r="R77" s="26"/>
      <c r="S77" s="26"/>
      <c r="T77" s="26"/>
      <c r="U77" s="26"/>
      <c r="V77" s="26"/>
      <c r="W77" s="26"/>
      <c r="X77" s="26"/>
      <c r="Y77" s="26"/>
      <c r="Z77" s="26"/>
      <c r="AA77" s="26"/>
      <c r="AB77" s="26"/>
    </row>
    <row r="78">
      <c r="A78" s="34"/>
      <c r="B78" s="35"/>
      <c r="C78" s="30"/>
      <c r="D78" s="30"/>
      <c r="E78" s="30"/>
      <c r="F78" s="30"/>
      <c r="G78" s="30"/>
      <c r="H78" s="31"/>
      <c r="I78" s="30"/>
      <c r="J78" s="32"/>
      <c r="K78" s="32"/>
      <c r="L78" s="47"/>
      <c r="M78" s="26"/>
      <c r="N78" s="26"/>
      <c r="O78" s="26"/>
      <c r="P78" s="26"/>
      <c r="Q78" s="26"/>
      <c r="R78" s="26"/>
      <c r="S78" s="26"/>
      <c r="T78" s="26"/>
      <c r="U78" s="26"/>
      <c r="V78" s="26"/>
      <c r="W78" s="26"/>
      <c r="X78" s="26"/>
      <c r="Y78" s="26"/>
      <c r="Z78" s="26"/>
      <c r="AA78" s="26"/>
      <c r="AB78" s="26"/>
    </row>
    <row r="79">
      <c r="A79" s="34"/>
      <c r="B79" s="35"/>
      <c r="C79" s="30"/>
      <c r="D79" s="30"/>
      <c r="E79" s="30"/>
      <c r="F79" s="30"/>
      <c r="G79" s="30"/>
      <c r="H79" s="31"/>
      <c r="I79" s="30"/>
      <c r="J79" s="32"/>
      <c r="K79" s="32"/>
      <c r="L79" s="47"/>
      <c r="M79" s="26"/>
      <c r="N79" s="26"/>
      <c r="O79" s="26"/>
      <c r="P79" s="26"/>
      <c r="Q79" s="26"/>
      <c r="R79" s="26"/>
      <c r="S79" s="26"/>
      <c r="T79" s="26"/>
      <c r="U79" s="26"/>
      <c r="V79" s="26"/>
      <c r="W79" s="26"/>
      <c r="X79" s="26"/>
      <c r="Y79" s="26"/>
      <c r="Z79" s="26"/>
      <c r="AA79" s="26"/>
      <c r="AB79" s="26"/>
    </row>
    <row r="80">
      <c r="A80" s="34"/>
      <c r="B80" s="35"/>
      <c r="C80" s="30"/>
      <c r="D80" s="30"/>
      <c r="E80" s="30"/>
      <c r="F80" s="30"/>
      <c r="G80" s="30"/>
      <c r="H80" s="31"/>
      <c r="I80" s="30"/>
      <c r="J80" s="32"/>
      <c r="K80" s="32"/>
      <c r="L80" s="47"/>
      <c r="M80" s="26"/>
      <c r="N80" s="26"/>
      <c r="O80" s="26"/>
      <c r="P80" s="26"/>
      <c r="Q80" s="26"/>
      <c r="R80" s="26"/>
      <c r="S80" s="26"/>
      <c r="T80" s="26"/>
      <c r="U80" s="26"/>
      <c r="V80" s="26"/>
      <c r="W80" s="26"/>
      <c r="X80" s="26"/>
      <c r="Y80" s="26"/>
      <c r="Z80" s="26"/>
      <c r="AA80" s="26"/>
      <c r="AB80" s="26"/>
    </row>
    <row r="81">
      <c r="A81" s="34"/>
      <c r="B81" s="35"/>
      <c r="C81" s="30"/>
      <c r="D81" s="30"/>
      <c r="E81" s="30"/>
      <c r="F81" s="30"/>
      <c r="G81" s="30"/>
      <c r="H81" s="31"/>
      <c r="I81" s="30"/>
      <c r="J81" s="32"/>
      <c r="K81" s="32"/>
      <c r="L81" s="47"/>
      <c r="M81" s="26"/>
      <c r="N81" s="26"/>
      <c r="O81" s="26"/>
      <c r="P81" s="26"/>
      <c r="Q81" s="26"/>
      <c r="R81" s="26"/>
      <c r="S81" s="26"/>
      <c r="T81" s="26"/>
      <c r="U81" s="26"/>
      <c r="V81" s="26"/>
      <c r="W81" s="26"/>
      <c r="X81" s="26"/>
      <c r="Y81" s="26"/>
      <c r="Z81" s="26"/>
      <c r="AA81" s="26"/>
      <c r="AB81" s="26"/>
    </row>
    <row r="82">
      <c r="A82" s="34"/>
      <c r="B82" s="35"/>
      <c r="C82" s="30"/>
      <c r="D82" s="30"/>
      <c r="E82" s="30"/>
      <c r="F82" s="30"/>
      <c r="G82" s="30"/>
      <c r="H82" s="31"/>
      <c r="I82" s="30"/>
      <c r="J82" s="32"/>
      <c r="K82" s="32"/>
      <c r="L82" s="47"/>
      <c r="M82" s="26"/>
      <c r="N82" s="26"/>
      <c r="O82" s="26"/>
      <c r="P82" s="26"/>
      <c r="Q82" s="26"/>
      <c r="R82" s="26"/>
      <c r="S82" s="26"/>
      <c r="T82" s="26"/>
      <c r="U82" s="26"/>
      <c r="V82" s="26"/>
      <c r="W82" s="26"/>
      <c r="X82" s="26"/>
      <c r="Y82" s="26"/>
      <c r="Z82" s="26"/>
      <c r="AA82" s="26"/>
      <c r="AB82" s="26"/>
    </row>
    <row r="83">
      <c r="A83" s="34"/>
      <c r="B83" s="35"/>
      <c r="C83" s="30"/>
      <c r="D83" s="30"/>
      <c r="E83" s="30"/>
      <c r="F83" s="30"/>
      <c r="G83" s="30"/>
      <c r="H83" s="31"/>
      <c r="I83" s="30"/>
      <c r="J83" s="32"/>
      <c r="K83" s="32"/>
      <c r="L83" s="47"/>
      <c r="M83" s="26"/>
      <c r="N83" s="26"/>
      <c r="O83" s="26"/>
      <c r="P83" s="26"/>
      <c r="Q83" s="26"/>
      <c r="R83" s="26"/>
      <c r="S83" s="26"/>
      <c r="T83" s="26"/>
      <c r="U83" s="26"/>
      <c r="V83" s="26"/>
      <c r="W83" s="26"/>
      <c r="X83" s="26"/>
      <c r="Y83" s="26"/>
      <c r="Z83" s="26"/>
      <c r="AA83" s="26"/>
      <c r="AB83" s="26"/>
    </row>
    <row r="84">
      <c r="A84" s="34"/>
      <c r="B84" s="35"/>
      <c r="C84" s="30"/>
      <c r="D84" s="30"/>
      <c r="E84" s="30"/>
      <c r="F84" s="30"/>
      <c r="G84" s="30"/>
      <c r="H84" s="31"/>
      <c r="I84" s="30"/>
      <c r="J84" s="32"/>
      <c r="K84" s="32"/>
      <c r="L84" s="47"/>
      <c r="M84" s="26"/>
      <c r="N84" s="26"/>
      <c r="O84" s="26"/>
      <c r="P84" s="26"/>
      <c r="Q84" s="26"/>
      <c r="R84" s="26"/>
      <c r="S84" s="26"/>
      <c r="T84" s="26"/>
      <c r="U84" s="26"/>
      <c r="V84" s="26"/>
      <c r="W84" s="26"/>
      <c r="X84" s="26"/>
      <c r="Y84" s="26"/>
      <c r="Z84" s="26"/>
      <c r="AA84" s="26"/>
      <c r="AB84" s="26"/>
    </row>
    <row r="85">
      <c r="A85" s="34"/>
      <c r="B85" s="35"/>
      <c r="C85" s="30"/>
      <c r="D85" s="30"/>
      <c r="E85" s="30"/>
      <c r="F85" s="30"/>
      <c r="G85" s="30"/>
      <c r="H85" s="31"/>
      <c r="I85" s="30"/>
      <c r="J85" s="32"/>
      <c r="K85" s="32"/>
      <c r="L85" s="47"/>
      <c r="M85" s="26"/>
      <c r="N85" s="26"/>
      <c r="O85" s="26"/>
      <c r="P85" s="26"/>
      <c r="Q85" s="26"/>
      <c r="R85" s="26"/>
      <c r="S85" s="26"/>
      <c r="T85" s="26"/>
      <c r="U85" s="26"/>
      <c r="V85" s="26"/>
      <c r="W85" s="26"/>
      <c r="X85" s="26"/>
      <c r="Y85" s="26"/>
      <c r="Z85" s="26"/>
      <c r="AA85" s="26"/>
      <c r="AB85" s="26"/>
    </row>
    <row r="86">
      <c r="A86" s="34"/>
      <c r="B86" s="35"/>
      <c r="C86" s="30"/>
      <c r="D86" s="30"/>
      <c r="E86" s="30"/>
      <c r="F86" s="30"/>
      <c r="G86" s="30"/>
      <c r="H86" s="31"/>
      <c r="I86" s="30"/>
      <c r="J86" s="32"/>
      <c r="K86" s="32"/>
      <c r="L86" s="47"/>
      <c r="M86" s="26"/>
      <c r="N86" s="26"/>
      <c r="O86" s="26"/>
      <c r="P86" s="26"/>
      <c r="Q86" s="26"/>
      <c r="R86" s="26"/>
      <c r="S86" s="26"/>
      <c r="T86" s="26"/>
      <c r="U86" s="26"/>
      <c r="V86" s="26"/>
      <c r="W86" s="26"/>
      <c r="X86" s="26"/>
      <c r="Y86" s="26"/>
      <c r="Z86" s="26"/>
      <c r="AA86" s="26"/>
      <c r="AB86" s="26"/>
    </row>
    <row r="87">
      <c r="A87" s="34"/>
      <c r="B87" s="35"/>
      <c r="C87" s="30"/>
      <c r="D87" s="30"/>
      <c r="E87" s="30"/>
      <c r="F87" s="30"/>
      <c r="G87" s="30"/>
      <c r="H87" s="31"/>
      <c r="I87" s="30"/>
      <c r="J87" s="32"/>
      <c r="K87" s="32"/>
      <c r="L87" s="47"/>
      <c r="M87" s="26"/>
      <c r="N87" s="26"/>
      <c r="O87" s="26"/>
      <c r="P87" s="26"/>
      <c r="Q87" s="26"/>
      <c r="R87" s="26"/>
      <c r="S87" s="26"/>
      <c r="T87" s="26"/>
      <c r="U87" s="26"/>
      <c r="V87" s="26"/>
      <c r="W87" s="26"/>
      <c r="X87" s="26"/>
      <c r="Y87" s="26"/>
      <c r="Z87" s="26"/>
      <c r="AA87" s="26"/>
      <c r="AB87" s="26"/>
    </row>
    <row r="88">
      <c r="A88" s="34"/>
      <c r="B88" s="35"/>
      <c r="C88" s="30"/>
      <c r="D88" s="30"/>
      <c r="E88" s="30"/>
      <c r="F88" s="30"/>
      <c r="G88" s="30"/>
      <c r="H88" s="31"/>
      <c r="I88" s="30"/>
      <c r="J88" s="32"/>
      <c r="K88" s="32"/>
      <c r="L88" s="47"/>
      <c r="M88" s="26"/>
      <c r="N88" s="26"/>
      <c r="O88" s="26"/>
      <c r="P88" s="26"/>
      <c r="Q88" s="26"/>
      <c r="R88" s="26"/>
      <c r="S88" s="26"/>
      <c r="T88" s="26"/>
      <c r="U88" s="26"/>
      <c r="V88" s="26"/>
      <c r="W88" s="26"/>
      <c r="X88" s="26"/>
      <c r="Y88" s="26"/>
      <c r="Z88" s="26"/>
      <c r="AA88" s="26"/>
      <c r="AB88" s="26"/>
    </row>
    <row r="89">
      <c r="A89" s="34"/>
      <c r="B89" s="35"/>
      <c r="C89" s="30"/>
      <c r="D89" s="30"/>
      <c r="E89" s="30"/>
      <c r="F89" s="30"/>
      <c r="G89" s="30"/>
      <c r="H89" s="31"/>
      <c r="I89" s="30"/>
      <c r="J89" s="32"/>
      <c r="K89" s="32"/>
      <c r="L89" s="47"/>
      <c r="M89" s="26"/>
      <c r="N89" s="26"/>
      <c r="O89" s="26"/>
      <c r="P89" s="26"/>
      <c r="Q89" s="26"/>
      <c r="R89" s="26"/>
      <c r="S89" s="26"/>
      <c r="T89" s="26"/>
      <c r="U89" s="26"/>
      <c r="V89" s="26"/>
      <c r="W89" s="26"/>
      <c r="X89" s="26"/>
      <c r="Y89" s="26"/>
      <c r="Z89" s="26"/>
      <c r="AA89" s="26"/>
      <c r="AB89" s="26"/>
    </row>
    <row r="90">
      <c r="A90" s="34"/>
      <c r="B90" s="35"/>
      <c r="C90" s="30"/>
      <c r="D90" s="30"/>
      <c r="E90" s="30"/>
      <c r="F90" s="30"/>
      <c r="G90" s="30"/>
      <c r="H90" s="31"/>
      <c r="I90" s="30"/>
      <c r="J90" s="32"/>
      <c r="K90" s="32"/>
      <c r="L90" s="47"/>
      <c r="M90" s="26"/>
      <c r="N90" s="26"/>
      <c r="O90" s="26"/>
      <c r="P90" s="26"/>
      <c r="Q90" s="26"/>
      <c r="R90" s="26"/>
      <c r="S90" s="26"/>
      <c r="T90" s="26"/>
      <c r="U90" s="26"/>
      <c r="V90" s="26"/>
      <c r="W90" s="26"/>
      <c r="X90" s="26"/>
      <c r="Y90" s="26"/>
      <c r="Z90" s="26"/>
      <c r="AA90" s="26"/>
      <c r="AB90" s="26"/>
    </row>
    <row r="91">
      <c r="A91" s="34"/>
      <c r="B91" s="35"/>
      <c r="C91" s="30"/>
      <c r="D91" s="30"/>
      <c r="E91" s="30"/>
      <c r="F91" s="30"/>
      <c r="G91" s="30"/>
      <c r="H91" s="31"/>
      <c r="I91" s="30"/>
      <c r="J91" s="32"/>
      <c r="K91" s="32"/>
      <c r="L91" s="47"/>
      <c r="M91" s="26"/>
      <c r="N91" s="26"/>
      <c r="O91" s="26"/>
      <c r="P91" s="26"/>
      <c r="Q91" s="26"/>
      <c r="R91" s="26"/>
      <c r="S91" s="26"/>
      <c r="T91" s="26"/>
      <c r="U91" s="26"/>
      <c r="V91" s="26"/>
      <c r="W91" s="26"/>
      <c r="X91" s="26"/>
      <c r="Y91" s="26"/>
      <c r="Z91" s="26"/>
      <c r="AA91" s="26"/>
      <c r="AB91" s="26"/>
    </row>
    <row r="92">
      <c r="A92" s="34"/>
      <c r="B92" s="35"/>
      <c r="C92" s="30"/>
      <c r="D92" s="30"/>
      <c r="E92" s="30"/>
      <c r="F92" s="30"/>
      <c r="G92" s="30"/>
      <c r="H92" s="31"/>
      <c r="I92" s="30"/>
      <c r="J92" s="32"/>
      <c r="K92" s="32"/>
      <c r="L92" s="47"/>
      <c r="M92" s="26"/>
      <c r="N92" s="26"/>
      <c r="O92" s="26"/>
      <c r="P92" s="26"/>
      <c r="Q92" s="26"/>
      <c r="R92" s="26"/>
      <c r="S92" s="26"/>
      <c r="T92" s="26"/>
      <c r="U92" s="26"/>
      <c r="V92" s="26"/>
      <c r="W92" s="26"/>
      <c r="X92" s="26"/>
      <c r="Y92" s="26"/>
      <c r="Z92" s="26"/>
      <c r="AA92" s="26"/>
      <c r="AB92" s="26"/>
    </row>
    <row r="93">
      <c r="A93" s="34"/>
      <c r="B93" s="35"/>
      <c r="C93" s="30"/>
      <c r="D93" s="30"/>
      <c r="E93" s="30"/>
      <c r="F93" s="30"/>
      <c r="G93" s="30"/>
      <c r="H93" s="31"/>
      <c r="I93" s="30"/>
      <c r="J93" s="32"/>
      <c r="K93" s="32"/>
      <c r="L93" s="47"/>
      <c r="M93" s="26"/>
      <c r="N93" s="26"/>
      <c r="O93" s="26"/>
      <c r="P93" s="26"/>
      <c r="Q93" s="26"/>
      <c r="R93" s="26"/>
      <c r="S93" s="26"/>
      <c r="T93" s="26"/>
      <c r="U93" s="26"/>
      <c r="V93" s="26"/>
      <c r="W93" s="26"/>
      <c r="X93" s="26"/>
      <c r="Y93" s="26"/>
      <c r="Z93" s="26"/>
      <c r="AA93" s="26"/>
      <c r="AB93" s="26"/>
    </row>
    <row r="94">
      <c r="A94" s="34"/>
      <c r="B94" s="35"/>
      <c r="C94" s="30"/>
      <c r="D94" s="30"/>
      <c r="E94" s="30"/>
      <c r="F94" s="30"/>
      <c r="G94" s="30"/>
      <c r="H94" s="31"/>
      <c r="I94" s="30"/>
      <c r="J94" s="32"/>
      <c r="K94" s="32"/>
      <c r="L94" s="47"/>
      <c r="M94" s="26"/>
      <c r="N94" s="26"/>
      <c r="O94" s="26"/>
      <c r="P94" s="26"/>
      <c r="Q94" s="26"/>
      <c r="R94" s="26"/>
      <c r="S94" s="26"/>
      <c r="T94" s="26"/>
      <c r="U94" s="26"/>
      <c r="V94" s="26"/>
      <c r="W94" s="26"/>
      <c r="X94" s="26"/>
      <c r="Y94" s="26"/>
      <c r="Z94" s="26"/>
      <c r="AA94" s="26"/>
      <c r="AB94" s="26"/>
    </row>
    <row r="95">
      <c r="A95" s="34"/>
      <c r="B95" s="35"/>
      <c r="C95" s="30"/>
      <c r="D95" s="30"/>
      <c r="E95" s="30"/>
      <c r="F95" s="30"/>
      <c r="G95" s="30"/>
      <c r="H95" s="31"/>
      <c r="I95" s="30"/>
      <c r="J95" s="32"/>
      <c r="K95" s="32"/>
      <c r="L95" s="47"/>
      <c r="M95" s="26"/>
      <c r="N95" s="26"/>
      <c r="O95" s="26"/>
      <c r="P95" s="26"/>
      <c r="Q95" s="26"/>
      <c r="R95" s="26"/>
      <c r="S95" s="26"/>
      <c r="T95" s="26"/>
      <c r="U95" s="26"/>
      <c r="V95" s="26"/>
      <c r="W95" s="26"/>
      <c r="X95" s="26"/>
      <c r="Y95" s="26"/>
      <c r="Z95" s="26"/>
      <c r="AA95" s="26"/>
      <c r="AB95" s="26"/>
    </row>
    <row r="96">
      <c r="A96" s="34"/>
      <c r="B96" s="35"/>
      <c r="C96" s="30"/>
      <c r="D96" s="30"/>
      <c r="E96" s="30"/>
      <c r="F96" s="30"/>
      <c r="G96" s="30"/>
      <c r="H96" s="31"/>
      <c r="I96" s="30"/>
      <c r="J96" s="32"/>
      <c r="K96" s="32"/>
      <c r="L96" s="47"/>
      <c r="M96" s="26"/>
      <c r="N96" s="26"/>
      <c r="O96" s="26"/>
      <c r="P96" s="26"/>
      <c r="Q96" s="26"/>
      <c r="R96" s="26"/>
      <c r="S96" s="26"/>
      <c r="T96" s="26"/>
      <c r="U96" s="26"/>
      <c r="V96" s="26"/>
      <c r="W96" s="26"/>
      <c r="X96" s="26"/>
      <c r="Y96" s="26"/>
      <c r="Z96" s="26"/>
      <c r="AA96" s="26"/>
      <c r="AB96" s="26"/>
    </row>
    <row r="97">
      <c r="A97" s="34"/>
      <c r="B97" s="35"/>
      <c r="C97" s="30"/>
      <c r="D97" s="30"/>
      <c r="E97" s="30"/>
      <c r="F97" s="30"/>
      <c r="G97" s="30"/>
      <c r="H97" s="31"/>
      <c r="I97" s="30"/>
      <c r="J97" s="32"/>
      <c r="K97" s="32"/>
      <c r="L97" s="47"/>
      <c r="M97" s="26"/>
      <c r="N97" s="26"/>
      <c r="O97" s="26"/>
      <c r="P97" s="26"/>
      <c r="Q97" s="26"/>
      <c r="R97" s="26"/>
      <c r="S97" s="26"/>
      <c r="T97" s="26"/>
      <c r="U97" s="26"/>
      <c r="V97" s="26"/>
      <c r="W97" s="26"/>
      <c r="X97" s="26"/>
      <c r="Y97" s="26"/>
      <c r="Z97" s="26"/>
      <c r="AA97" s="26"/>
      <c r="AB97" s="26"/>
    </row>
    <row r="98">
      <c r="A98" s="34"/>
      <c r="B98" s="35"/>
      <c r="C98" s="30"/>
      <c r="D98" s="30"/>
      <c r="E98" s="30"/>
      <c r="F98" s="30"/>
      <c r="G98" s="30"/>
      <c r="H98" s="31"/>
      <c r="I98" s="30"/>
      <c r="J98" s="32"/>
      <c r="K98" s="32"/>
      <c r="L98" s="47"/>
      <c r="M98" s="26"/>
      <c r="N98" s="26"/>
      <c r="O98" s="26"/>
      <c r="P98" s="26"/>
      <c r="Q98" s="26"/>
      <c r="R98" s="26"/>
      <c r="S98" s="26"/>
      <c r="T98" s="26"/>
      <c r="U98" s="26"/>
      <c r="V98" s="26"/>
      <c r="W98" s="26"/>
      <c r="X98" s="26"/>
      <c r="Y98" s="26"/>
      <c r="Z98" s="26"/>
      <c r="AA98" s="26"/>
      <c r="AB98" s="26"/>
    </row>
    <row r="99">
      <c r="A99" s="34"/>
      <c r="B99" s="35"/>
      <c r="C99" s="30"/>
      <c r="D99" s="30"/>
      <c r="E99" s="30"/>
      <c r="F99" s="30"/>
      <c r="G99" s="30"/>
      <c r="H99" s="31"/>
      <c r="I99" s="30"/>
      <c r="J99" s="32"/>
      <c r="K99" s="32"/>
      <c r="L99" s="47"/>
      <c r="M99" s="26"/>
      <c r="N99" s="26"/>
      <c r="O99" s="26"/>
      <c r="P99" s="26"/>
      <c r="Q99" s="26"/>
      <c r="R99" s="26"/>
      <c r="S99" s="26"/>
      <c r="T99" s="26"/>
      <c r="U99" s="26"/>
      <c r="V99" s="26"/>
      <c r="W99" s="26"/>
      <c r="X99" s="26"/>
      <c r="Y99" s="26"/>
      <c r="Z99" s="26"/>
      <c r="AA99" s="26"/>
      <c r="AB99" s="26"/>
    </row>
    <row r="100">
      <c r="A100" s="34"/>
      <c r="B100" s="35"/>
      <c r="C100" s="30"/>
      <c r="D100" s="30"/>
      <c r="E100" s="30"/>
      <c r="F100" s="30"/>
      <c r="G100" s="30"/>
      <c r="H100" s="31"/>
      <c r="I100" s="30"/>
      <c r="J100" s="32"/>
      <c r="K100" s="32"/>
      <c r="L100" s="47"/>
      <c r="M100" s="26"/>
      <c r="N100" s="26"/>
      <c r="O100" s="26"/>
      <c r="P100" s="26"/>
      <c r="Q100" s="26"/>
      <c r="R100" s="26"/>
      <c r="S100" s="26"/>
      <c r="T100" s="26"/>
      <c r="U100" s="26"/>
      <c r="V100" s="26"/>
      <c r="W100" s="26"/>
      <c r="X100" s="26"/>
      <c r="Y100" s="26"/>
      <c r="Z100" s="26"/>
      <c r="AA100" s="26"/>
      <c r="AB100" s="26"/>
    </row>
    <row r="101">
      <c r="A101" s="34"/>
      <c r="B101" s="35"/>
      <c r="C101" s="30"/>
      <c r="D101" s="30"/>
      <c r="E101" s="30"/>
      <c r="F101" s="30"/>
      <c r="G101" s="30"/>
      <c r="H101" s="31"/>
      <c r="I101" s="30"/>
      <c r="J101" s="32"/>
      <c r="K101" s="32"/>
      <c r="L101" s="47"/>
      <c r="M101" s="26"/>
      <c r="N101" s="26"/>
      <c r="O101" s="26"/>
      <c r="P101" s="26"/>
      <c r="Q101" s="26"/>
      <c r="R101" s="26"/>
      <c r="S101" s="26"/>
      <c r="T101" s="26"/>
      <c r="U101" s="26"/>
      <c r="V101" s="26"/>
      <c r="W101" s="26"/>
      <c r="X101" s="26"/>
      <c r="Y101" s="26"/>
      <c r="Z101" s="26"/>
      <c r="AA101" s="26"/>
      <c r="AB101" s="26"/>
    </row>
    <row r="102">
      <c r="A102" s="34"/>
      <c r="B102" s="35"/>
      <c r="C102" s="30"/>
      <c r="D102" s="30"/>
      <c r="E102" s="30"/>
      <c r="F102" s="30"/>
      <c r="G102" s="30"/>
      <c r="H102" s="31"/>
      <c r="I102" s="30"/>
      <c r="J102" s="32"/>
      <c r="K102" s="32"/>
      <c r="L102" s="47"/>
      <c r="M102" s="26"/>
      <c r="N102" s="26"/>
      <c r="O102" s="26"/>
      <c r="P102" s="26"/>
      <c r="Q102" s="26"/>
      <c r="R102" s="26"/>
      <c r="S102" s="26"/>
      <c r="T102" s="26"/>
      <c r="U102" s="26"/>
      <c r="V102" s="26"/>
      <c r="W102" s="26"/>
      <c r="X102" s="26"/>
      <c r="Y102" s="26"/>
      <c r="Z102" s="26"/>
      <c r="AA102" s="26"/>
      <c r="AB102" s="26"/>
    </row>
    <row r="103">
      <c r="A103" s="34"/>
      <c r="B103" s="35"/>
      <c r="C103" s="30"/>
      <c r="D103" s="30"/>
      <c r="E103" s="30"/>
      <c r="F103" s="30"/>
      <c r="G103" s="30"/>
      <c r="H103" s="31"/>
      <c r="I103" s="30"/>
      <c r="J103" s="32"/>
      <c r="K103" s="32"/>
      <c r="L103" s="47"/>
      <c r="M103" s="26"/>
      <c r="N103" s="26"/>
      <c r="O103" s="26"/>
      <c r="P103" s="26"/>
      <c r="Q103" s="26"/>
      <c r="R103" s="26"/>
      <c r="S103" s="26"/>
      <c r="T103" s="26"/>
      <c r="U103" s="26"/>
      <c r="V103" s="26"/>
      <c r="W103" s="26"/>
      <c r="X103" s="26"/>
      <c r="Y103" s="26"/>
      <c r="Z103" s="26"/>
      <c r="AA103" s="26"/>
      <c r="AB103" s="26"/>
    </row>
    <row r="104">
      <c r="A104" s="34"/>
      <c r="B104" s="35"/>
      <c r="C104" s="30"/>
      <c r="D104" s="30"/>
      <c r="E104" s="30"/>
      <c r="F104" s="30"/>
      <c r="G104" s="30"/>
      <c r="H104" s="31"/>
      <c r="I104" s="30"/>
      <c r="J104" s="32"/>
      <c r="K104" s="32"/>
      <c r="L104" s="47"/>
      <c r="M104" s="26"/>
      <c r="N104" s="26"/>
      <c r="O104" s="26"/>
      <c r="P104" s="26"/>
      <c r="Q104" s="26"/>
      <c r="R104" s="26"/>
      <c r="S104" s="26"/>
      <c r="T104" s="26"/>
      <c r="U104" s="26"/>
      <c r="V104" s="26"/>
      <c r="W104" s="26"/>
      <c r="X104" s="26"/>
      <c r="Y104" s="26"/>
      <c r="Z104" s="26"/>
      <c r="AA104" s="26"/>
      <c r="AB104" s="26"/>
    </row>
    <row r="105">
      <c r="A105" s="34"/>
      <c r="B105" s="35"/>
      <c r="C105" s="30"/>
      <c r="D105" s="30"/>
      <c r="E105" s="30"/>
      <c r="F105" s="30"/>
      <c r="G105" s="30"/>
      <c r="H105" s="31"/>
      <c r="I105" s="30"/>
      <c r="J105" s="32"/>
      <c r="K105" s="32"/>
      <c r="L105" s="47"/>
      <c r="M105" s="26"/>
      <c r="N105" s="26"/>
      <c r="O105" s="26"/>
      <c r="P105" s="26"/>
      <c r="Q105" s="26"/>
      <c r="R105" s="26"/>
      <c r="S105" s="26"/>
      <c r="T105" s="26"/>
      <c r="U105" s="26"/>
      <c r="V105" s="26"/>
      <c r="W105" s="26"/>
      <c r="X105" s="26"/>
      <c r="Y105" s="26"/>
      <c r="Z105" s="26"/>
      <c r="AA105" s="26"/>
      <c r="AB105" s="26"/>
    </row>
    <row r="106">
      <c r="A106" s="34"/>
      <c r="B106" s="35"/>
      <c r="C106" s="30"/>
      <c r="D106" s="30"/>
      <c r="E106" s="30"/>
      <c r="F106" s="30"/>
      <c r="G106" s="30"/>
      <c r="H106" s="31"/>
      <c r="I106" s="30"/>
      <c r="J106" s="32"/>
      <c r="K106" s="32"/>
      <c r="L106" s="47"/>
      <c r="M106" s="26"/>
      <c r="N106" s="26"/>
      <c r="O106" s="26"/>
      <c r="P106" s="26"/>
      <c r="Q106" s="26"/>
      <c r="R106" s="26"/>
      <c r="S106" s="26"/>
      <c r="T106" s="26"/>
      <c r="U106" s="26"/>
      <c r="V106" s="26"/>
      <c r="W106" s="26"/>
      <c r="X106" s="26"/>
      <c r="Y106" s="26"/>
      <c r="Z106" s="26"/>
      <c r="AA106" s="26"/>
      <c r="AB106" s="26"/>
    </row>
    <row r="107">
      <c r="A107" s="34"/>
      <c r="B107" s="35"/>
      <c r="C107" s="30"/>
      <c r="D107" s="30"/>
      <c r="E107" s="30"/>
      <c r="F107" s="30"/>
      <c r="G107" s="30"/>
      <c r="H107" s="31"/>
      <c r="I107" s="30"/>
      <c r="J107" s="32"/>
      <c r="K107" s="32"/>
      <c r="L107" s="47"/>
      <c r="M107" s="26"/>
      <c r="N107" s="26"/>
      <c r="O107" s="26"/>
      <c r="P107" s="26"/>
      <c r="Q107" s="26"/>
      <c r="R107" s="26"/>
      <c r="S107" s="26"/>
      <c r="T107" s="26"/>
      <c r="U107" s="26"/>
      <c r="V107" s="26"/>
      <c r="W107" s="26"/>
      <c r="X107" s="26"/>
      <c r="Y107" s="26"/>
      <c r="Z107" s="26"/>
      <c r="AA107" s="26"/>
      <c r="AB107" s="26"/>
    </row>
    <row r="108">
      <c r="A108" s="34"/>
      <c r="B108" s="35"/>
      <c r="C108" s="30"/>
      <c r="D108" s="30"/>
      <c r="E108" s="30"/>
      <c r="F108" s="30"/>
      <c r="G108" s="30"/>
      <c r="H108" s="31"/>
      <c r="I108" s="30"/>
      <c r="J108" s="32"/>
      <c r="K108" s="32"/>
      <c r="L108" s="47"/>
      <c r="M108" s="26"/>
      <c r="N108" s="26"/>
      <c r="O108" s="26"/>
      <c r="P108" s="26"/>
      <c r="Q108" s="26"/>
      <c r="R108" s="26"/>
      <c r="S108" s="26"/>
      <c r="T108" s="26"/>
      <c r="U108" s="26"/>
      <c r="V108" s="26"/>
      <c r="W108" s="26"/>
      <c r="X108" s="26"/>
      <c r="Y108" s="26"/>
      <c r="Z108" s="26"/>
      <c r="AA108" s="26"/>
      <c r="AB108" s="26"/>
    </row>
    <row r="109">
      <c r="A109" s="34"/>
      <c r="B109" s="35"/>
      <c r="C109" s="30"/>
      <c r="D109" s="30"/>
      <c r="E109" s="30"/>
      <c r="F109" s="30"/>
      <c r="G109" s="30"/>
      <c r="H109" s="31"/>
      <c r="I109" s="30"/>
      <c r="J109" s="32"/>
      <c r="K109" s="32"/>
      <c r="L109" s="47"/>
      <c r="M109" s="26"/>
      <c r="N109" s="26"/>
      <c r="O109" s="26"/>
      <c r="P109" s="26"/>
      <c r="Q109" s="26"/>
      <c r="R109" s="26"/>
      <c r="S109" s="26"/>
      <c r="T109" s="26"/>
      <c r="U109" s="26"/>
      <c r="V109" s="26"/>
      <c r="W109" s="26"/>
      <c r="X109" s="26"/>
      <c r="Y109" s="26"/>
      <c r="Z109" s="26"/>
      <c r="AA109" s="26"/>
      <c r="AB109" s="26"/>
    </row>
    <row r="110">
      <c r="A110" s="34"/>
      <c r="B110" s="35"/>
      <c r="C110" s="30"/>
      <c r="D110" s="30"/>
      <c r="E110" s="30"/>
      <c r="F110" s="30"/>
      <c r="G110" s="30"/>
      <c r="H110" s="31"/>
      <c r="I110" s="30"/>
      <c r="J110" s="32"/>
      <c r="K110" s="32"/>
      <c r="L110" s="47"/>
      <c r="M110" s="26"/>
      <c r="N110" s="26"/>
      <c r="O110" s="26"/>
      <c r="P110" s="26"/>
      <c r="Q110" s="26"/>
      <c r="R110" s="26"/>
      <c r="S110" s="26"/>
      <c r="T110" s="26"/>
      <c r="U110" s="26"/>
      <c r="V110" s="26"/>
      <c r="W110" s="26"/>
      <c r="X110" s="26"/>
      <c r="Y110" s="26"/>
      <c r="Z110" s="26"/>
      <c r="AA110" s="26"/>
      <c r="AB110" s="26"/>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