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F4F662E2-4B77-4E6A-90C1-E2DF2BE34C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ee Cash Flow" sheetId="7" r:id="rId1"/>
    <sheet name="Fixed Assets" sheetId="8" r:id="rId2"/>
    <sheet name="Net Working Capital" sheetId="9" r:id="rId3"/>
    <sheet name="DCF" sheetId="10" r:id="rId4"/>
    <sheet name="WACC" sheetId="11" r:id="rId5"/>
    <sheet name="BS 22-24" sheetId="15" r:id="rId6"/>
    <sheet name="Inc_St 22-24" sheetId="16" r:id="rId7"/>
  </sheets>
  <definedNames>
    <definedName name="ExternalData_1" localSheetId="5" hidden="1">'BS 22-24'!$A$1:$G$51</definedName>
    <definedName name="ExternalData_1" localSheetId="6" hidden="1">'Inc_St 22-24'!$A$1:$F$29</definedName>
    <definedName name="UPDATE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7" l="1"/>
  <c r="E16" i="7"/>
  <c r="C13" i="10"/>
  <c r="C14" i="10" s="1"/>
  <c r="C17" i="10"/>
  <c r="C16" i="10"/>
  <c r="K7" i="10"/>
  <c r="J7" i="10"/>
  <c r="I7" i="10"/>
  <c r="H7" i="10"/>
  <c r="G7" i="10"/>
  <c r="C12" i="10"/>
  <c r="C18" i="11"/>
  <c r="C16" i="11"/>
  <c r="C13" i="11"/>
  <c r="C15" i="11"/>
  <c r="C9" i="11"/>
  <c r="C8" i="11"/>
  <c r="C6" i="11"/>
  <c r="C4" i="11"/>
  <c r="C3" i="11"/>
  <c r="K4" i="10"/>
  <c r="J4" i="10"/>
  <c r="I4" i="10"/>
  <c r="H4" i="10"/>
  <c r="G4" i="10"/>
  <c r="D4" i="10"/>
  <c r="J4" i="9"/>
  <c r="I4" i="9"/>
  <c r="H4" i="9"/>
  <c r="G4" i="9"/>
  <c r="F4" i="9"/>
  <c r="J5" i="9"/>
  <c r="I5" i="9"/>
  <c r="H5" i="9"/>
  <c r="G5" i="9"/>
  <c r="F5" i="9"/>
  <c r="E6" i="9"/>
  <c r="E25" i="9" s="1"/>
  <c r="D6" i="9"/>
  <c r="E5" i="9"/>
  <c r="E22" i="9" s="1"/>
  <c r="D5" i="9"/>
  <c r="D22" i="9" s="1"/>
  <c r="C23" i="9"/>
  <c r="C22" i="9"/>
  <c r="D6" i="7"/>
  <c r="E6" i="7"/>
  <c r="F6" i="7"/>
  <c r="G6" i="7"/>
  <c r="H6" i="7"/>
  <c r="I6" i="7"/>
  <c r="J6" i="7"/>
  <c r="E19" i="9"/>
  <c r="E23" i="9" s="1"/>
  <c r="D19" i="9"/>
  <c r="D23" i="9" s="1"/>
  <c r="E18" i="9"/>
  <c r="D18" i="9"/>
  <c r="D27" i="9" s="1"/>
  <c r="E28" i="7"/>
  <c r="D28" i="7"/>
  <c r="C28" i="7"/>
  <c r="E27" i="7"/>
  <c r="D27" i="7"/>
  <c r="F27" i="7" s="1"/>
  <c r="C27" i="7"/>
  <c r="E25" i="7"/>
  <c r="D25" i="7"/>
  <c r="F25" i="7" s="1"/>
  <c r="B24" i="7"/>
  <c r="F4" i="8"/>
  <c r="C19" i="9"/>
  <c r="C18" i="9"/>
  <c r="C26" i="9" s="1"/>
  <c r="C14" i="9"/>
  <c r="C20" i="7" s="1"/>
  <c r="C13" i="9"/>
  <c r="E13" i="9"/>
  <c r="E14" i="9" s="1"/>
  <c r="E29" i="9" s="1"/>
  <c r="D13" i="9"/>
  <c r="D14" i="9" s="1"/>
  <c r="D20" i="7" s="1"/>
  <c r="E4" i="9"/>
  <c r="D4" i="9"/>
  <c r="C6" i="9"/>
  <c r="C5" i="9"/>
  <c r="C4" i="9"/>
  <c r="C21" i="9" s="1"/>
  <c r="C11" i="8"/>
  <c r="E11" i="8"/>
  <c r="C6" i="8"/>
  <c r="C12" i="8" s="1"/>
  <c r="E5" i="8"/>
  <c r="D5" i="8"/>
  <c r="C5" i="8"/>
  <c r="E4" i="8"/>
  <c r="E6" i="8" s="1"/>
  <c r="E12" i="8" s="1"/>
  <c r="D4" i="8"/>
  <c r="D11" i="8" s="1"/>
  <c r="E7" i="8"/>
  <c r="D7" i="8"/>
  <c r="C7" i="8"/>
  <c r="E13" i="7"/>
  <c r="D13" i="7"/>
  <c r="C13" i="7"/>
  <c r="E11" i="7"/>
  <c r="D11" i="7"/>
  <c r="C11" i="7"/>
  <c r="C5" i="7"/>
  <c r="D5" i="7"/>
  <c r="E5" i="7"/>
  <c r="E4" i="7"/>
  <c r="D4" i="7"/>
  <c r="C4" i="7"/>
  <c r="C10" i="10" l="1"/>
  <c r="C15" i="10" s="1"/>
  <c r="C19" i="10" s="1"/>
  <c r="C21" i="10" s="1"/>
  <c r="F12" i="10" s="1"/>
  <c r="D6" i="8"/>
  <c r="D12" i="8" s="1"/>
  <c r="E7" i="9"/>
  <c r="E19" i="7" s="1"/>
  <c r="F11" i="8"/>
  <c r="F5" i="8" s="1"/>
  <c r="F11" i="7" s="1"/>
  <c r="F15" i="7" s="1"/>
  <c r="C16" i="7"/>
  <c r="C21" i="7" s="1"/>
  <c r="C7" i="9"/>
  <c r="C19" i="7" s="1"/>
  <c r="C18" i="7" s="1"/>
  <c r="C25" i="9"/>
  <c r="F23" i="9"/>
  <c r="G23" i="9" s="1"/>
  <c r="H23" i="9" s="1"/>
  <c r="I23" i="9" s="1"/>
  <c r="E27" i="9"/>
  <c r="E20" i="7"/>
  <c r="F12" i="8"/>
  <c r="F6" i="8" s="1"/>
  <c r="F16" i="7" s="1"/>
  <c r="G12" i="8"/>
  <c r="G25" i="7"/>
  <c r="G4" i="7" s="1"/>
  <c r="G18" i="9" s="1"/>
  <c r="F4" i="7"/>
  <c r="F18" i="9" s="1"/>
  <c r="F5" i="7"/>
  <c r="H27" i="7"/>
  <c r="G27" i="7"/>
  <c r="F28" i="7"/>
  <c r="C27" i="9"/>
  <c r="D26" i="9"/>
  <c r="D28" i="9"/>
  <c r="E21" i="9"/>
  <c r="D21" i="9"/>
  <c r="C28" i="9"/>
  <c r="F28" i="9" s="1"/>
  <c r="F12" i="9" s="1"/>
  <c r="E26" i="9"/>
  <c r="E28" i="9"/>
  <c r="D25" i="9"/>
  <c r="F25" i="9" s="1"/>
  <c r="G25" i="9" s="1"/>
  <c r="H25" i="9" s="1"/>
  <c r="I25" i="9" s="1"/>
  <c r="J25" i="9" s="1"/>
  <c r="C29" i="9"/>
  <c r="F27" i="9"/>
  <c r="F11" i="9" s="1"/>
  <c r="D29" i="9"/>
  <c r="H25" i="7"/>
  <c r="H4" i="7" s="1"/>
  <c r="D7" i="9"/>
  <c r="G11" i="8" l="1"/>
  <c r="H11" i="8" s="1"/>
  <c r="E18" i="7"/>
  <c r="F26" i="9"/>
  <c r="F10" i="9" s="1"/>
  <c r="F22" i="9"/>
  <c r="D19" i="7"/>
  <c r="D18" i="7" s="1"/>
  <c r="D17" i="7" s="1"/>
  <c r="F21" i="9"/>
  <c r="G21" i="9" s="1"/>
  <c r="H21" i="9" s="1"/>
  <c r="H12" i="8"/>
  <c r="I12" i="8" s="1"/>
  <c r="F7" i="8"/>
  <c r="G4" i="8" s="1"/>
  <c r="H18" i="9"/>
  <c r="F29" i="9"/>
  <c r="F13" i="9" s="1"/>
  <c r="I27" i="7"/>
  <c r="J27" i="7" s="1"/>
  <c r="G5" i="7"/>
  <c r="F19" i="9"/>
  <c r="H28" i="7"/>
  <c r="F8" i="7"/>
  <c r="G27" i="9"/>
  <c r="H27" i="9" s="1"/>
  <c r="G28" i="7"/>
  <c r="F6" i="9"/>
  <c r="F9" i="9"/>
  <c r="G9" i="9" s="1"/>
  <c r="H9" i="9" s="1"/>
  <c r="I9" i="9" s="1"/>
  <c r="J9" i="9" s="1"/>
  <c r="G28" i="9"/>
  <c r="G26" i="9"/>
  <c r="H26" i="9" s="1"/>
  <c r="J23" i="9"/>
  <c r="I25" i="7"/>
  <c r="J25" i="7" s="1"/>
  <c r="E15" i="7"/>
  <c r="D15" i="7"/>
  <c r="C15" i="7"/>
  <c r="E9" i="7"/>
  <c r="D9" i="7"/>
  <c r="C9" i="7"/>
  <c r="C6" i="7"/>
  <c r="D21" i="7" l="1"/>
  <c r="E4" i="10" s="1"/>
  <c r="I11" i="8"/>
  <c r="J11" i="8" s="1"/>
  <c r="G5" i="8"/>
  <c r="G22" i="9"/>
  <c r="H22" i="9" s="1"/>
  <c r="E17" i="7"/>
  <c r="E21" i="7" s="1"/>
  <c r="F4" i="10" s="1"/>
  <c r="G29" i="9"/>
  <c r="G13" i="9" s="1"/>
  <c r="I22" i="9"/>
  <c r="J22" i="9" s="1"/>
  <c r="G11" i="9"/>
  <c r="I21" i="9"/>
  <c r="J21" i="9" s="1"/>
  <c r="J12" i="8"/>
  <c r="G11" i="7"/>
  <c r="G15" i="7" s="1"/>
  <c r="G6" i="8"/>
  <c r="G16" i="7" s="1"/>
  <c r="I4" i="7"/>
  <c r="I28" i="7"/>
  <c r="F9" i="7"/>
  <c r="F10" i="7" s="1"/>
  <c r="F12" i="7" s="1"/>
  <c r="G8" i="7"/>
  <c r="H5" i="7"/>
  <c r="G19" i="9"/>
  <c r="J28" i="7"/>
  <c r="H11" i="9"/>
  <c r="I27" i="9"/>
  <c r="J27" i="9" s="1"/>
  <c r="F14" i="9"/>
  <c r="F20" i="7" s="1"/>
  <c r="I26" i="9"/>
  <c r="J26" i="9" s="1"/>
  <c r="G6" i="9"/>
  <c r="F7" i="9"/>
  <c r="F19" i="7" s="1"/>
  <c r="H28" i="9"/>
  <c r="I28" i="9" s="1"/>
  <c r="G12" i="9"/>
  <c r="G10" i="9"/>
  <c r="H10" i="9" s="1"/>
  <c r="H29" i="9"/>
  <c r="I29" i="9" s="1"/>
  <c r="J29" i="9" s="1"/>
  <c r="J4" i="7"/>
  <c r="C10" i="7"/>
  <c r="C12" i="7" s="1"/>
  <c r="E10" i="7"/>
  <c r="E12" i="7" s="1"/>
  <c r="E14" i="7" s="1"/>
  <c r="D10" i="7"/>
  <c r="D12" i="7" s="1"/>
  <c r="G7" i="8" l="1"/>
  <c r="H4" i="8" s="1"/>
  <c r="G14" i="9"/>
  <c r="G20" i="7" s="1"/>
  <c r="F18" i="7"/>
  <c r="F17" i="7" s="1"/>
  <c r="C14" i="7"/>
  <c r="C29" i="7"/>
  <c r="H8" i="7"/>
  <c r="G9" i="7"/>
  <c r="G10" i="7" s="1"/>
  <c r="G12" i="7" s="1"/>
  <c r="I10" i="9"/>
  <c r="J10" i="9" s="1"/>
  <c r="D14" i="7"/>
  <c r="D29" i="7"/>
  <c r="J18" i="9"/>
  <c r="I11" i="9"/>
  <c r="J11" i="9" s="1"/>
  <c r="I5" i="7"/>
  <c r="H19" i="9"/>
  <c r="I18" i="9"/>
  <c r="H13" i="9"/>
  <c r="I13" i="9" s="1"/>
  <c r="H12" i="9"/>
  <c r="I12" i="9" s="1"/>
  <c r="J12" i="9" s="1"/>
  <c r="H6" i="9"/>
  <c r="G7" i="9"/>
  <c r="G19" i="7" s="1"/>
  <c r="J28" i="9"/>
  <c r="E29" i="7"/>
  <c r="G18" i="7" l="1"/>
  <c r="G17" i="7" s="1"/>
  <c r="H5" i="8"/>
  <c r="H6" i="8"/>
  <c r="H16" i="7" s="1"/>
  <c r="F29" i="7"/>
  <c r="F13" i="7" s="1"/>
  <c r="F14" i="7" s="1"/>
  <c r="F21" i="7" s="1"/>
  <c r="G13" i="7"/>
  <c r="G14" i="7" s="1"/>
  <c r="G21" i="7" s="1"/>
  <c r="J5" i="7"/>
  <c r="I19" i="9"/>
  <c r="I8" i="7"/>
  <c r="H9" i="7"/>
  <c r="H10" i="7" s="1"/>
  <c r="H14" i="9"/>
  <c r="H20" i="7" s="1"/>
  <c r="H7" i="9"/>
  <c r="H19" i="7" s="1"/>
  <c r="I6" i="9"/>
  <c r="J13" i="9"/>
  <c r="J14" i="9" s="1"/>
  <c r="J20" i="7" s="1"/>
  <c r="I14" i="9"/>
  <c r="I20" i="7" s="1"/>
  <c r="H11" i="7" l="1"/>
  <c r="H15" i="7" s="1"/>
  <c r="H7" i="8"/>
  <c r="I4" i="8" s="1"/>
  <c r="H18" i="7"/>
  <c r="H17" i="7" s="1"/>
  <c r="J19" i="9"/>
  <c r="J8" i="7"/>
  <c r="J9" i="7" s="1"/>
  <c r="J10" i="7" s="1"/>
  <c r="I9" i="7"/>
  <c r="I10" i="7" s="1"/>
  <c r="J6" i="9"/>
  <c r="J7" i="9" s="1"/>
  <c r="J19" i="7" s="1"/>
  <c r="J18" i="7" s="1"/>
  <c r="I7" i="9"/>
  <c r="I19" i="7" s="1"/>
  <c r="I18" i="7" s="1"/>
  <c r="I17" i="7" s="1"/>
  <c r="J17" i="7" l="1"/>
  <c r="I6" i="8"/>
  <c r="I16" i="7" s="1"/>
  <c r="I5" i="8"/>
  <c r="I11" i="7" s="1"/>
  <c r="I15" i="7" s="1"/>
  <c r="I7" i="8"/>
  <c r="J4" i="8" s="1"/>
  <c r="H12" i="7"/>
  <c r="H13" i="7" s="1"/>
  <c r="H14" i="7" s="1"/>
  <c r="H21" i="7" s="1"/>
  <c r="J5" i="8" l="1"/>
  <c r="J11" i="7" s="1"/>
  <c r="J6" i="8"/>
  <c r="J16" i="7" s="1"/>
  <c r="J7" i="8"/>
  <c r="I12" i="7"/>
  <c r="I13" i="7" s="1"/>
  <c r="I14" i="7" s="1"/>
  <c r="I21" i="7" s="1"/>
  <c r="J15" i="7" l="1"/>
  <c r="J12" i="7"/>
  <c r="J13" i="7" l="1"/>
  <c r="J14" i="7" s="1"/>
  <c r="J21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E3158C23-A0E5-4F85-BB15-76FB92683DE0}">
      <text>
        <r>
          <rPr>
            <sz val="11"/>
            <color theme="1"/>
            <rFont val="Calibri"/>
            <family val="2"/>
            <scheme val="minor"/>
          </rPr>
          <t>======
ID#AAAAccCPVgc
kenji    (2022-07-02 07:51:37)
Industry Growth Rate</t>
        </r>
      </text>
    </comment>
    <comment ref="C20" authorId="0" shapeId="0" xr:uid="{D93E65D3-1949-46C2-91F1-35C85BBFEF61}">
      <text>
        <r>
          <rPr>
            <sz val="11"/>
            <color theme="1"/>
            <rFont val="Calibri"/>
            <family val="2"/>
            <scheme val="minor"/>
          </rPr>
          <t>======
ID#AAAAccCPVgg
kenji    (2022-07-02 07:51:37)
Source: Company 10k filing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6B73E98-C8C7-4B27-9EEF-99EBD9A3A7BC}">
      <text>
        <r>
          <rPr>
            <sz val="11"/>
            <color theme="1"/>
            <rFont val="Calibri"/>
            <family val="2"/>
            <scheme val="minor"/>
          </rPr>
          <t>======
ID#AAAAccCPVgU
kenji    (2022-07-02 07:51:37)
Source: Bloomberg</t>
        </r>
      </text>
    </comment>
    <comment ref="C7" authorId="0" shapeId="0" xr:uid="{44F9E120-4370-4D3B-AF79-4883385E19B1}">
      <text>
        <r>
          <rPr>
            <sz val="11"/>
            <color theme="1"/>
            <rFont val="Calibri"/>
            <family val="2"/>
            <scheme val="minor"/>
          </rPr>
          <t>======
ID#AAAAccCPVgk
kenji    (2022-07-02 07:51:37)
US Corporate Tax Rate</t>
        </r>
      </text>
    </comment>
    <comment ref="C11" authorId="0" shapeId="0" xr:uid="{6A37121D-50FF-4019-9251-D717225EC0A6}">
      <text>
        <r>
          <rPr>
            <sz val="11"/>
            <color theme="1"/>
            <rFont val="Calibri"/>
            <family val="2"/>
            <scheme val="minor"/>
          </rPr>
          <t>======
ID#AAAAccCPVgs
kenji    (2022-07-02 07:51:37)
Source: Bloomberg</t>
        </r>
      </text>
    </comment>
    <comment ref="C12" authorId="0" shapeId="0" xr:uid="{BB2D614D-A25F-4AF8-9D89-EE573A204D9C}">
      <text>
        <r>
          <rPr>
            <sz val="11"/>
            <color theme="1"/>
            <rFont val="Calibri"/>
            <family val="2"/>
            <scheme val="minor"/>
          </rPr>
          <t>======
ID#AAAAccCPVgo
kenji    (2022-07-02 07:51:37)
Source: Bloomberg</t>
        </r>
      </text>
    </comment>
    <comment ref="C14" authorId="0" shapeId="0" xr:uid="{5291DA77-525E-4A66-90F1-6FB21D1D6A12}">
      <text>
        <r>
          <rPr>
            <sz val="11"/>
            <color theme="1"/>
            <rFont val="Calibri"/>
            <family val="2"/>
            <scheme val="minor"/>
          </rPr>
          <t>======
ID#AAAAccCPVgY
kenji    (2022-07-02 07:51:37)
Source: Bloomberg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E41F7A-DF6E-4E91-8EBA-881DC19F91BF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xr16:uid="{7472C924-D1C1-473B-91CE-33E01D3A9C34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8B93FD4A-BA4D-4661-A1E3-D60A67ABFFAA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4" xr16:uid="{2FC546CF-D61B-4A0A-ABEA-A069CD039BAA}" keepAlive="1" name="Query - Table001 (Page 1) (3)" description="Connection to the 'Table001 (Page 1) (3)' query in the workbook." type="5" refreshedVersion="0" background="1">
    <dbPr connection="Provider=Microsoft.Mashup.OleDb.1;Data Source=$Workbook$;Location=&quot;Table001 (Page 1) (3)&quot;;Extended Properties=&quot;&quot;" command="SELECT * FROM [Table001 (Page 1) (3)]"/>
  </connection>
  <connection id="5" xr16:uid="{F73B18C6-B877-49FB-B54D-EEE5DCDC4152}" keepAlive="1" name="Query - Table004 (Page 2)" description="Connection to the 'Table004 (Page 2)' query in the workbook." type="5" refreshedVersion="0" background="1">
    <dbPr connection="Provider=Microsoft.Mashup.OleDb.1;Data Source=$Workbook$;Location=&quot;Table004 (Page 2)&quot;;Extended Properties=&quot;&quot;" command="SELECT * FROM [Table004 (Page 2)]"/>
  </connection>
</connections>
</file>

<file path=xl/sharedStrings.xml><?xml version="1.0" encoding="utf-8"?>
<sst xmlns="http://schemas.openxmlformats.org/spreadsheetml/2006/main" count="442" uniqueCount="374">
  <si>
    <t>Expenses</t>
  </si>
  <si>
    <t>Other Income</t>
  </si>
  <si>
    <t>Equity Share Capital</t>
  </si>
  <si>
    <t>Capital Work in Progress</t>
  </si>
  <si>
    <t>Other Expenses</t>
  </si>
  <si>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</si>
  <si>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</si>
  <si>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</si>
  <si>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</si>
  <si>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</si>
  <si>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</si>
  <si>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</si>
  <si>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</si>
  <si>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</si>
  <si>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</si>
  <si>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</si>
  <si>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</si>
  <si>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</si>
  <si>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</si>
  <si>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</si>
  <si>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</si>
  <si>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</si>
  <si>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</si>
  <si>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</si>
  <si>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</si>
  <si>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Fixed Assets Schedule</t>
  </si>
  <si>
    <t>Beginning PP&amp;E</t>
  </si>
  <si>
    <t>D&amp;A</t>
  </si>
  <si>
    <t>CapEx</t>
  </si>
  <si>
    <t>Ending PP&amp;E</t>
  </si>
  <si>
    <t>Assumptions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</si>
  <si>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</si>
  <si>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</si>
  <si>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</si>
  <si>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</si>
  <si>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</si>
  <si>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</si>
  <si>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</si>
  <si>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</si>
  <si>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</si>
  <si>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</si>
  <si>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</si>
  <si>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</si>
  <si>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</si>
  <si>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</si>
  <si>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</si>
  <si>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</si>
  <si>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</si>
  <si>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</si>
  <si>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</si>
  <si>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</si>
  <si>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DSO: Number of days it takes for a company to collect payment on a sale</t>
  </si>
  <si>
    <t>DIO: Number of days it takes for a company to sell its Inventory</t>
  </si>
  <si>
    <t>DPO: Number of days it takes for a company to make payments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</si>
  <si>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</si>
  <si>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</si>
  <si>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</si>
  <si>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</si>
  <si>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</si>
  <si>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</si>
  <si>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</si>
  <si>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</si>
  <si>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</si>
  <si>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</si>
  <si>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</si>
  <si>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</si>
  <si>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</si>
  <si>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</si>
  <si>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</si>
  <si>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</si>
  <si>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</si>
  <si>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</si>
  <si>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</si>
  <si>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</si>
  <si>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</si>
  <si>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</si>
  <si>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</si>
  <si>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</si>
  <si>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</si>
  <si>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</si>
  <si>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</si>
  <si>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</si>
  <si>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</si>
  <si>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Column1</t>
  </si>
  <si>
    <t>Column2</t>
  </si>
  <si>
    <t>Column3</t>
  </si>
  <si>
    <t>Column4</t>
  </si>
  <si>
    <t>Column5</t>
  </si>
  <si>
    <t>Column6</t>
  </si>
  <si>
    <t>Column7</t>
  </si>
  <si>
    <t>Sr No.</t>
  </si>
  <si>
    <t>Particulars</t>
  </si>
  <si>
    <t>Note</t>
  </si>
  <si>
    <t>March 31, 2024</t>
  </si>
  <si>
    <t>March 31, 2023</t>
  </si>
  <si>
    <t>I</t>
  </si>
  <si>
    <t>ASSETS</t>
  </si>
  <si>
    <t>1</t>
  </si>
  <si>
    <t>Non current assets</t>
  </si>
  <si>
    <t>(a)</t>
  </si>
  <si>
    <t>Property, Plant and Equipment</t>
  </si>
  <si>
    <t>4</t>
  </si>
  <si>
    <t>1,028.65</t>
  </si>
  <si>
    <t>879.90</t>
  </si>
  <si>
    <t>(b)</t>
  </si>
  <si>
    <t>5</t>
  </si>
  <si>
    <t>35.88</t>
  </si>
  <si>
    <t>-</t>
  </si>
  <si>
    <t>(c)</t>
  </si>
  <si>
    <t>Other Intangible Assets</t>
  </si>
  <si>
    <t>6</t>
  </si>
  <si>
    <t>6.16</t>
  </si>
  <si>
    <t>6.21</t>
  </si>
  <si>
    <t>(d)</t>
  </si>
  <si>
    <t>Right-of-use assets</t>
  </si>
  <si>
    <t>7</t>
  </si>
  <si>
    <t>347.55</t>
  </si>
  <si>
    <t>220.28</t>
  </si>
  <si>
    <t>(e)</t>
  </si>
  <si>
    <t>Financial Assets</t>
  </si>
  <si>
    <t>(i) Investment</t>
  </si>
  <si>
    <t>8</t>
  </si>
  <si>
    <t>8.67</t>
  </si>
  <si>
    <t>99.38</t>
  </si>
  <si>
    <t>(ii) Other Financial Assets</t>
  </si>
  <si>
    <t>9</t>
  </si>
  <si>
    <t>187.94</t>
  </si>
  <si>
    <t>643.89</t>
  </si>
  <si>
    <t>(f)</t>
  </si>
  <si>
    <t>Deferred tax assets (net)</t>
  </si>
  <si>
    <t>19</t>
  </si>
  <si>
    <t>14.60</t>
  </si>
  <si>
    <t>13.68</t>
  </si>
  <si>
    <t>1,629.45</t>
  </si>
  <si>
    <t>1,863.34</t>
  </si>
  <si>
    <t>2</t>
  </si>
  <si>
    <t>Current assets</t>
  </si>
  <si>
    <t>Inventories</t>
  </si>
  <si>
    <t>10</t>
  </si>
  <si>
    <t>10,736.95</t>
  </si>
  <si>
    <t>9,163.66</t>
  </si>
  <si>
    <t>Financial assets</t>
  </si>
  <si>
    <t>111.46</t>
  </si>
  <si>
    <t>39.04</t>
  </si>
  <si>
    <t>(ii) Trade Receivables</t>
  </si>
  <si>
    <t>11</t>
  </si>
  <si>
    <t>151.01</t>
  </si>
  <si>
    <t>749.49</t>
  </si>
  <si>
    <t>(iii) Cash &amp; Cash Equivalents</t>
  </si>
  <si>
    <t>12</t>
  </si>
  <si>
    <t>522.26</t>
  </si>
  <si>
    <t>576.13</t>
  </si>
  <si>
    <t>(iv) Other Bank Balances</t>
  </si>
  <si>
    <t>13</t>
  </si>
  <si>
    <t>81.43</t>
  </si>
  <si>
    <t>92.29</t>
  </si>
  <si>
    <t>(iv) Other Financial Assets</t>
  </si>
  <si>
    <t>1,712.01</t>
  </si>
  <si>
    <t>942.75</t>
  </si>
  <si>
    <t>14</t>
  </si>
  <si>
    <t>174.88</t>
  </si>
  <si>
    <t>85.69</t>
  </si>
  <si>
    <t>Current tax Asset (Net)</t>
  </si>
  <si>
    <t>24</t>
  </si>
  <si>
    <t>11.16</t>
  </si>
  <si>
    <t>13,501.16</t>
  </si>
  <si>
    <t>11,649.05</t>
  </si>
  <si>
    <t>TOTAL ASSETS</t>
  </si>
  <si>
    <t>15,130.61</t>
  </si>
  <si>
    <t>13,512.39</t>
  </si>
  <si>
    <t>II</t>
  </si>
  <si>
    <t>EQUITY AND LIABILITIES</t>
  </si>
  <si>
    <t>Equity</t>
  </si>
  <si>
    <t>15</t>
  </si>
  <si>
    <t>337.71</t>
  </si>
  <si>
    <t>Other Equity</t>
  </si>
  <si>
    <t>16</t>
  </si>
  <si>
    <t>6,887.82</t>
  </si>
  <si>
    <t>5,504.40</t>
  </si>
  <si>
    <t>7,225.53</t>
  </si>
  <si>
    <t>5,842.11</t>
  </si>
  <si>
    <t>Liabilities</t>
  </si>
  <si>
    <t>Non current liabilities</t>
  </si>
  <si>
    <t>Financial liabilities</t>
  </si>
  <si>
    <t>(i) Lease liabilities</t>
  </si>
  <si>
    <t>267.74</t>
  </si>
  <si>
    <t>160.54</t>
  </si>
  <si>
    <t>(ii) Borrowings</t>
  </si>
  <si>
    <t>17</t>
  </si>
  <si>
    <t>274.33</t>
  </si>
  <si>
    <t>500.74</t>
  </si>
  <si>
    <t>Provisions</t>
  </si>
  <si>
    <t>18</t>
  </si>
  <si>
    <t>76.93</t>
  </si>
  <si>
    <t>66.35</t>
  </si>
  <si>
    <t>619.00</t>
  </si>
  <si>
    <t>727.63</t>
  </si>
  <si>
    <t>Current liabilities</t>
  </si>
  <si>
    <t>(i) Borrowings</t>
  </si>
  <si>
    <t>3,839.28</t>
  </si>
  <si>
    <t>3,606.04</t>
  </si>
  <si>
    <t>(ii) Lease liabilities</t>
  </si>
  <si>
    <t>106.49</t>
  </si>
  <si>
    <t>77.27</t>
  </si>
  <si>
    <t>(iii) Trade Payables</t>
  </si>
  <si>
    <t>Total outstanding dues of micro enterprises and small</t>
  </si>
  <si>
    <t>- enterprises
Total outstanding dues of creditors other than micro</t>
  </si>
  <si>
    <t>20</t>
  </si>
  <si>
    <t>78.06</t>
  </si>
  <si>
    <t>76.85</t>
  </si>
  <si>
    <t>- enterprises and small enterprises</t>
  </si>
  <si>
    <t>425.88</t>
  </si>
  <si>
    <t>534.78</t>
  </si>
  <si>
    <t>(iv) Other Financial Liabilities</t>
  </si>
  <si>
    <t>21</t>
  </si>
  <si>
    <t>218.90</t>
  </si>
  <si>
    <t>171.54</t>
  </si>
  <si>
    <t>Other Current liabilities</t>
  </si>
  <si>
    <t>22</t>
  </si>
  <si>
    <t>2,614.54</t>
  </si>
  <si>
    <t>2,454.22</t>
  </si>
  <si>
    <t>23</t>
  </si>
  <si>
    <t>2.94</t>
  </si>
  <si>
    <t>2.97</t>
  </si>
  <si>
    <t>Current tax liabilities (Net)</t>
  </si>
  <si>
    <t>18.98</t>
  </si>
  <si>
    <t>7,286.09</t>
  </si>
  <si>
    <t>6,942.65</t>
  </si>
  <si>
    <t>TOTAL EQUITY AND LIABILITIES</t>
  </si>
  <si>
    <t>Revenue from operations</t>
  </si>
  <si>
    <t>25</t>
  </si>
  <si>
    <t>84,435.79</t>
  </si>
  <si>
    <t>101,138.85</t>
  </si>
  <si>
    <t>26</t>
  </si>
  <si>
    <t>147.06</t>
  </si>
  <si>
    <t>110.60</t>
  </si>
  <si>
    <t>III</t>
  </si>
  <si>
    <t>Total Income (I + II)</t>
  </si>
  <si>
    <t>84,582.85</t>
  </si>
  <si>
    <t>101,249.45</t>
  </si>
  <si>
    <t>Cost of goods sold</t>
  </si>
  <si>
    <t>27</t>
  </si>
  <si>
    <t>32,590.78</t>
  </si>
  <si>
    <t>29,442.24</t>
  </si>
  <si>
    <t>Purchase of Stock-In-Trade</t>
  </si>
  <si>
    <t>28</t>
  </si>
  <si>
    <t>47,837.06</t>
  </si>
  <si>
    <t>68,290.74</t>
  </si>
  <si>
    <t>Changes in Inventories of Stock-In-Trade</t>
  </si>
  <si>
    <t>29</t>
  </si>
  <si>
    <t>269.23</t>
  </si>
  <si>
    <t>125.49</t>
  </si>
  <si>
    <t>Employee Benefit Expenses</t>
  </si>
  <si>
    <t>30</t>
  </si>
  <si>
    <t>915.44</t>
  </si>
  <si>
    <t>755.69</t>
  </si>
  <si>
    <t>Finance Costs</t>
  </si>
  <si>
    <t>31</t>
  </si>
  <si>
    <t>240.81</t>
  </si>
  <si>
    <t>277.11</t>
  </si>
  <si>
    <t>Depreciation and Amortization Expenses</t>
  </si>
  <si>
    <t>32</t>
  </si>
  <si>
    <t>165.81</t>
  </si>
  <si>
    <t>158.90</t>
  </si>
  <si>
    <t>33</t>
  </si>
  <si>
    <t>719.87</t>
  </si>
  <si>
    <t>691.26</t>
  </si>
  <si>
    <t>IV</t>
  </si>
  <si>
    <t>Total Expenses</t>
  </si>
  <si>
    <t>82,739.00</t>
  </si>
  <si>
    <t>99,741.44</t>
  </si>
  <si>
    <t>V</t>
  </si>
  <si>
    <t>Profit / (Loss) Before Tax (V - VI)</t>
  </si>
  <si>
    <t>1,843.85</t>
  </si>
  <si>
    <t>1,508.01</t>
  </si>
  <si>
    <t>Tax Expenses</t>
  </si>
  <si>
    <t>Current Tax</t>
  </si>
  <si>
    <t>480.45</t>
  </si>
  <si>
    <t>390.22</t>
  </si>
  <si>
    <t>Deferred Tax</t>
  </si>
  <si>
    <t>(0.91)</t>
  </si>
  <si>
    <t>2.04</t>
  </si>
  <si>
    <t>Earlier year taxes</t>
  </si>
  <si>
    <t>8.19</t>
  </si>
  <si>
    <t>(0.18)</t>
  </si>
  <si>
    <t>VI</t>
  </si>
  <si>
    <t>Total Tax Expenses</t>
  </si>
  <si>
    <t>487.73</t>
  </si>
  <si>
    <t>392.08</t>
  </si>
  <si>
    <t>VII</t>
  </si>
  <si>
    <t>Profit / (Loss) After Tax (VII - VIII)</t>
  </si>
  <si>
    <t>1,356.12</t>
  </si>
  <si>
    <t>1,115.93</t>
  </si>
  <si>
    <t>Other Comprehensive Income/(Loss) (OCI)
Items that will not to be reclassified subsequently to</t>
  </si>
  <si>
    <t>profit or loss:</t>
  </si>
  <si>
    <t>Re-measurement gain / (loss) on defined benefit plans</t>
  </si>
  <si>
    <t>(1.29)</t>
  </si>
  <si>
    <t>(0.09)</t>
  </si>
  <si>
    <t>Effect of income tax</t>
  </si>
  <si>
    <t>0.33</t>
  </si>
  <si>
    <t>0.02</t>
  </si>
  <si>
    <t>VIII</t>
  </si>
  <si>
    <t>Total Other Comprehensive Income/(Loss) (OCI)</t>
  </si>
  <si>
    <t>(0.97)</t>
  </si>
  <si>
    <t>(0.07)</t>
  </si>
  <si>
    <t>IX</t>
  </si>
  <si>
    <t>Total Comprehensive Income/(Loss), Net of tax (IX + X)</t>
  </si>
  <si>
    <t>1,355.15</t>
  </si>
  <si>
    <t>1,115.86</t>
  </si>
  <si>
    <t>X</t>
  </si>
  <si>
    <t>Earning Per Equity Shares of ₹10 Each</t>
  </si>
  <si>
    <t>- Basic ( in ₹)</t>
  </si>
  <si>
    <t>34</t>
  </si>
  <si>
    <t>40.16</t>
  </si>
  <si>
    <t>33.04</t>
  </si>
  <si>
    <t>- Diluted ( in ₹)</t>
  </si>
  <si>
    <t>March 31, 2022</t>
  </si>
  <si>
    <t>694.29</t>
  </si>
  <si>
    <t>6.79</t>
  </si>
  <si>
    <t>0.13</t>
  </si>
  <si>
    <t>83.25</t>
  </si>
  <si>
    <t>159.94</t>
  </si>
  <si>
    <t>52.39</t>
  </si>
  <si>
    <t>15.70</t>
  </si>
  <si>
    <t>1,012.49</t>
  </si>
  <si>
    <t>9,274.48</t>
  </si>
  <si>
    <t>329.19</t>
  </si>
  <si>
    <t>427.94</t>
  </si>
  <si>
    <t>317.07</t>
  </si>
  <si>
    <t>986.26</t>
  </si>
  <si>
    <t>250.02</t>
  </si>
  <si>
    <t>11,584.97</t>
  </si>
  <si>
    <t>12,597.46</t>
  </si>
  <si>
    <t>4,374.56</t>
  </si>
  <si>
    <t>4,712.27</t>
  </si>
  <si>
    <t>39.27</t>
  </si>
  <si>
    <t>929.02</t>
  </si>
  <si>
    <t>57.70</t>
  </si>
  <si>
    <t>1,025.99</t>
  </si>
  <si>
    <t>60.41</t>
  </si>
  <si>
    <t>2,766.38</t>
  </si>
  <si>
    <t>29.06</t>
  </si>
  <si>
    <t>431.12</t>
  </si>
  <si>
    <t>2,045.77</t>
  </si>
  <si>
    <t>1,499.92</t>
  </si>
  <si>
    <t>2.17</t>
  </si>
  <si>
    <t>24.37</t>
  </si>
  <si>
    <t>6,859.20</t>
  </si>
  <si>
    <t>7,885.19</t>
  </si>
  <si>
    <t>56,499.43</t>
  </si>
  <si>
    <t>79.18</t>
  </si>
  <si>
    <t>56,578.61</t>
  </si>
  <si>
    <t>22,620.06</t>
  </si>
  <si>
    <t>31,472.50</t>
  </si>
  <si>
    <t>(400.77)</t>
  </si>
  <si>
    <t>549.54</t>
  </si>
  <si>
    <t>279.52</t>
  </si>
  <si>
    <t>155.44</t>
  </si>
  <si>
    <t>509.23</t>
  </si>
  <si>
    <t>55,185.51</t>
  </si>
  <si>
    <t>1,393.10</t>
  </si>
  <si>
    <t>370.62</t>
  </si>
  <si>
    <t>(5.03)</t>
  </si>
  <si>
    <t>365.59</t>
  </si>
  <si>
    <t>1,027.51</t>
  </si>
  <si>
    <t>10.48</t>
  </si>
  <si>
    <t>(2.64)</t>
  </si>
  <si>
    <t>7.84</t>
  </si>
  <si>
    <t>1,035.35</t>
  </si>
  <si>
    <t>30.43</t>
  </si>
  <si>
    <t>Revenue Growth</t>
  </si>
  <si>
    <t>COGS % of Revenue</t>
  </si>
  <si>
    <t>SG&amp;A % of Revenue</t>
  </si>
  <si>
    <t>Tax % of 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</si>
</sst>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6" formatCode="yyyy\A"/>
    <numFmt numFmtId="167" formatCode="yyyy\E"/>
    <numFmt numFmtId="168" formatCode="0.0%"/>
    <numFmt numFmtId="180" formatCode="#,##0.0;\(#,##0.0\)"/>
    <numFmt numFmtId="182" formatCode="#,##0.00;\(#,##0.0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  <fill>
      <patternFill patternType="solid">
        <fgColor rgb="FFD9E2F3"/>
        <bgColor rgb="FFD9E2F3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E7E6E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166" fontId="3" fillId="3" borderId="1" xfId="0" applyNumberFormat="1" applyFont="1" applyFill="1" applyBorder="1"/>
    <xf numFmtId="167" fontId="3" fillId="3" borderId="1" xfId="0" applyNumberFormat="1" applyFont="1" applyFill="1" applyBorder="1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4" borderId="2" xfId="0" applyFont="1" applyFill="1" applyBorder="1"/>
    <xf numFmtId="3" fontId="3" fillId="0" borderId="0" xfId="0" applyNumberFormat="1" applyFont="1"/>
    <xf numFmtId="0" fontId="4" fillId="0" borderId="2" xfId="0" applyFont="1" applyBorder="1"/>
    <xf numFmtId="3" fontId="4" fillId="0" borderId="2" xfId="0" applyNumberFormat="1" applyFont="1" applyBorder="1"/>
    <xf numFmtId="0" fontId="3" fillId="5" borderId="0" xfId="0" applyFont="1" applyFill="1"/>
    <xf numFmtId="168" fontId="3" fillId="5" borderId="0" xfId="0" applyNumberFormat="1" applyFont="1" applyFill="1"/>
    <xf numFmtId="0" fontId="3" fillId="6" borderId="0" xfId="0" applyFont="1" applyFill="1"/>
    <xf numFmtId="0" fontId="0" fillId="7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/>
    <xf numFmtId="9" fontId="6" fillId="0" borderId="0" xfId="0" applyNumberFormat="1" applyFont="1"/>
    <xf numFmtId="168" fontId="3" fillId="0" borderId="0" xfId="0" applyNumberFormat="1" applyFont="1"/>
    <xf numFmtId="4" fontId="3" fillId="0" borderId="0" xfId="0" applyNumberFormat="1" applyFont="1"/>
    <xf numFmtId="10" fontId="3" fillId="3" borderId="0" xfId="0" applyNumberFormat="1" applyFont="1" applyFill="1"/>
    <xf numFmtId="4" fontId="3" fillId="3" borderId="0" xfId="0" applyNumberFormat="1" applyFont="1" applyFill="1"/>
    <xf numFmtId="4" fontId="2" fillId="2" borderId="0" xfId="0" applyNumberFormat="1" applyFont="1" applyFill="1"/>
    <xf numFmtId="0" fontId="3" fillId="0" borderId="2" xfId="0" applyFont="1" applyBorder="1"/>
    <xf numFmtId="3" fontId="3" fillId="0" borderId="2" xfId="0" applyNumberFormat="1" applyFont="1" applyBorder="1"/>
    <xf numFmtId="2" fontId="6" fillId="0" borderId="0" xfId="0" applyNumberFormat="1" applyFont="1"/>
    <xf numFmtId="4" fontId="4" fillId="4" borderId="2" xfId="0" applyNumberFormat="1" applyFont="1" applyFill="1" applyBorder="1"/>
    <xf numFmtId="3" fontId="6" fillId="0" borderId="0" xfId="0" applyNumberFormat="1" applyFont="1"/>
    <xf numFmtId="168" fontId="6" fillId="0" borderId="0" xfId="0" applyNumberFormat="1" applyFont="1"/>
    <xf numFmtId="168" fontId="4" fillId="0" borderId="2" xfId="0" applyNumberFormat="1" applyFont="1" applyBorder="1"/>
    <xf numFmtId="168" fontId="4" fillId="0" borderId="0" xfId="0" applyNumberFormat="1" applyFont="1"/>
    <xf numFmtId="0" fontId="6" fillId="0" borderId="0" xfId="0" applyFont="1"/>
    <xf numFmtId="168" fontId="4" fillId="4" borderId="2" xfId="0" applyNumberFormat="1" applyFont="1" applyFill="1" applyBorder="1"/>
    <xf numFmtId="0" fontId="0" fillId="0" borderId="4" xfId="0" applyBorder="1"/>
    <xf numFmtId="0" fontId="0" fillId="0" borderId="5" xfId="0" applyBorder="1"/>
    <xf numFmtId="0" fontId="3" fillId="3" borderId="1" xfId="0" applyFon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167" fontId="3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/>
    </xf>
    <xf numFmtId="2" fontId="0" fillId="0" borderId="4" xfId="0" applyNumberFormat="1" applyBorder="1"/>
    <xf numFmtId="2" fontId="0" fillId="0" borderId="5" xfId="0" applyNumberFormat="1" applyBorder="1"/>
    <xf numFmtId="2" fontId="0" fillId="0" borderId="0" xfId="0" applyNumberFormat="1"/>
    <xf numFmtId="0" fontId="2" fillId="2" borderId="0" xfId="0" applyFont="1" applyFill="1" applyAlignment="1">
      <alignment horizontal="center"/>
    </xf>
    <xf numFmtId="0" fontId="5" fillId="0" borderId="0" xfId="0" applyFont="1"/>
    <xf numFmtId="0" fontId="2" fillId="2" borderId="0" xfId="0" applyFont="1" applyFill="1" applyAlignment="1">
      <alignment horizontal="center" vertical="center" textRotation="90"/>
    </xf>
    <xf numFmtId="3" fontId="0" fillId="0" borderId="0" xfId="0" applyNumberFormat="1"/>
    <xf numFmtId="4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80" fontId="0" fillId="0" borderId="0" xfId="0" applyNumberFormat="1" applyAlignment="1">
      <alignment horizontal="right"/>
    </xf>
    <xf numFmtId="182" fontId="0" fillId="0" borderId="0" xfId="0" applyNumberFormat="1" applyAlignment="1">
      <alignment horizontal="right"/>
    </xf>
    <xf numFmtId="182" fontId="4" fillId="0" borderId="3" xfId="0" applyNumberFormat="1" applyFont="1" applyBorder="1" applyAlignment="1">
      <alignment horizontal="right"/>
    </xf>
    <xf numFmtId="182" fontId="4" fillId="4" borderId="2" xfId="0" applyNumberFormat="1" applyFont="1" applyFill="1" applyBorder="1" applyAlignment="1">
      <alignment horizontal="right"/>
    </xf>
    <xf numFmtId="182" fontId="4" fillId="0" borderId="6" xfId="0" applyNumberFormat="1" applyFont="1" applyBorder="1" applyAlignment="1">
      <alignment horizontal="right"/>
    </xf>
    <xf numFmtId="2" fontId="3" fillId="3" borderId="0" xfId="0" applyNumberFormat="1" applyFont="1" applyFill="1"/>
  </cellXfs>
  <cellStyles count="1">
    <cellStyle name="Normal" xfId="0" builtinId="0"/>
  </cellStyles>
  <dxfs count="13"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5</xdr:col>
      <xdr:colOff>515761</xdr:colOff>
      <xdr:row>45</xdr:row>
      <xdr:rowOff>132809</xdr:rowOff>
    </xdr:to>
    <xdr:pic>
      <xdr:nvPicPr>
        <xdr:cNvPr id="2" name="Content Placeholder 3">
          <a:extLst>
            <a:ext uri="{FF2B5EF4-FFF2-40B4-BE49-F238E27FC236}">
              <a16:creationId xmlns:a16="http://schemas.microsoft.com/office/drawing/2014/main" id="{8CF8F51B-BED1-4132-9F80-B2D2A0717FDE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4714875"/>
          <a:ext cx="2887486" cy="375230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16</xdr:col>
      <xdr:colOff>103012</xdr:colOff>
      <xdr:row>29</xdr:row>
      <xdr:rowOff>102405</xdr:rowOff>
    </xdr:to>
    <xdr:sp macro="" textlink="">
      <xdr:nvSpPr>
        <xdr:cNvPr id="3" name="TextBox 4">
          <a:extLst>
            <a:ext uri="{FF2B5EF4-FFF2-40B4-BE49-F238E27FC236}">
              <a16:creationId xmlns:a16="http://schemas.microsoft.com/office/drawing/2014/main" id="{F5D9A9B2-E4E3-470D-8352-2647D91F0E81}"/>
            </a:ext>
          </a:extLst>
        </xdr:cNvPr>
        <xdr:cNvSpPr txBox="1"/>
      </xdr:nvSpPr>
      <xdr:spPr>
        <a:xfrm>
          <a:off x="4371975" y="5076825"/>
          <a:ext cx="6741937" cy="2833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Enterprise value = Present value of FCF + Present value of Terminal Value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C819C0F-B06A-4D06-8755-5157DE231E7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99152F-6DBE-4E95-9445-40C281B310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2D8545-5874-4DD0-83A4-D5B2A154B532}" name="Table001__Page_1" displayName="Table001__Page_1" ref="A1:G51" tableType="queryTable" totalsRowShown="0">
  <autoFilter ref="A1:G51" xr:uid="{0E2D8545-5874-4DD0-83A4-D5B2A154B532}"/>
  <tableColumns count="7">
    <tableColumn id="1" xr3:uid="{0CB5CA0E-4B2B-41A4-8495-12CECCCC98DC}" uniqueName="1" name="Column1" queryTableFieldId="1" dataDxfId="12"/>
    <tableColumn id="2" xr3:uid="{FA5184B0-B33A-4F55-AF15-1EF81413123B}" uniqueName="2" name="Column2" queryTableFieldId="2" dataDxfId="11"/>
    <tableColumn id="3" xr3:uid="{CD149892-7B48-469D-8629-6A60736D36D1}" uniqueName="3" name="Column3" queryTableFieldId="3" dataDxfId="10"/>
    <tableColumn id="4" xr3:uid="{5C613D24-2306-494C-9847-26034CD0C1A0}" uniqueName="4" name="Column4" queryTableFieldId="4" dataDxfId="9"/>
    <tableColumn id="5" xr3:uid="{0C3A093C-D481-4A1A-81C3-D24BAB001432}" uniqueName="5" name="Column5" queryTableFieldId="5" dataDxfId="8"/>
    <tableColumn id="6" xr3:uid="{FE695CC7-54AE-461F-B515-499DF6D7FC0C}" uniqueName="6" name="Column6" queryTableFieldId="6" dataDxfId="7"/>
    <tableColumn id="7" xr3:uid="{859B9A3B-BA23-4E8A-8E76-17185AD91FCA}" uniqueName="7" name="Column7" queryTableFieldId="7" dataDxfId="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C9440E-A734-4682-B327-6F3749AF8614}" name="Table001__Page_1___2" displayName="Table001__Page_1___2" ref="A1:F29" tableType="queryTable" totalsRowShown="0">
  <autoFilter ref="A1:F29" xr:uid="{D0C9440E-A734-4682-B327-6F3749AF8614}"/>
  <tableColumns count="6">
    <tableColumn id="1" xr3:uid="{D702C8E5-1C73-445F-BBED-B3BF8CB6AEED}" uniqueName="1" name="Column1" queryTableFieldId="1" dataDxfId="5"/>
    <tableColumn id="2" xr3:uid="{A4568EE2-4950-4EAD-A79E-8E6A7291EF9A}" uniqueName="2" name="Column2" queryTableFieldId="2" dataDxfId="4"/>
    <tableColumn id="3" xr3:uid="{3F9A65B9-D0A0-4017-B936-DBD90AF2CFDA}" uniqueName="3" name="Column3" queryTableFieldId="3" dataDxfId="3"/>
    <tableColumn id="4" xr3:uid="{2706EA33-929E-45BA-B7AF-16A7870631F2}" uniqueName="4" name="Column4" queryTableFieldId="4" dataDxfId="2"/>
    <tableColumn id="5" xr3:uid="{A1932DF0-6229-4AFD-95F7-714758358C61}" uniqueName="5" name="Column5" queryTableFieldId="5" dataDxfId="1"/>
    <tableColumn id="6" xr3:uid="{4A7F29B0-58D2-4708-AA23-8D6FA34F75E7}" uniqueName="6" name="Column6" queryTableFieldId="6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70FE-29F6-4129-A804-BBC02BFBADC6}">
  <dimension ref="B2:J29"/>
  <sheetViews>
    <sheetView tabSelected="1" workbookViewId="0">
      <selection activeCell="F16" sqref="F16"/>
    </sheetView>
  </sheetViews>
  <sheetFormatPr defaultRowHeight="15" x14ac:dyDescent="0.25"/>
  <cols>
    <col min="1" max="1" width="9.140625" style="41"/>
    <col min="2" max="2" width="41.28515625" style="41" customWidth="1"/>
    <col min="3" max="3" width="12.5703125" style="41" customWidth="1"/>
    <col min="4" max="4" width="11.5703125" style="41" customWidth="1"/>
    <col min="5" max="5" width="12.28515625" style="41" customWidth="1"/>
    <col min="6" max="6" width="11.85546875" style="41" customWidth="1"/>
    <col min="7" max="7" width="12.28515625" style="41" customWidth="1"/>
    <col min="8" max="8" width="11.7109375" style="41" customWidth="1"/>
    <col min="9" max="9" width="11.5703125" style="41" bestFit="1" customWidth="1"/>
    <col min="10" max="10" width="11.28515625" style="41" customWidth="1"/>
    <col min="11" max="16384" width="9.140625" style="41"/>
  </cols>
  <sheetData>
    <row r="2" spans="2:10" x14ac:dyDescent="0.25">
      <c r="B2" s="16" t="s">
        <v>5</v>
      </c>
      <c r="C2" s="16"/>
      <c r="D2" s="16"/>
      <c r="E2" s="16"/>
      <c r="F2" s="16"/>
      <c r="G2" s="16"/>
      <c r="H2" s="16"/>
      <c r="I2" s="16"/>
      <c r="J2" s="16"/>
    </row>
    <row r="3" spans="2:10" x14ac:dyDescent="0.25">
      <c r="B3" s="36" t="s">
        <v>6</v>
      </c>
      <c r="C3" s="37">
        <v>44926</v>
      </c>
      <c r="D3" s="37">
        <v>45291</v>
      </c>
      <c r="E3" s="37">
        <v>45657</v>
      </c>
      <c r="F3" s="38">
        <v>46022</v>
      </c>
      <c r="G3" s="38">
        <v>46387</v>
      </c>
      <c r="H3" s="38">
        <v>46752</v>
      </c>
      <c r="I3" s="38">
        <v>47118</v>
      </c>
      <c r="J3" s="38">
        <v>47483</v>
      </c>
    </row>
    <row r="4" spans="2:10" x14ac:dyDescent="0.25">
      <c r="B4" s="39" t="s">
        <v>7</v>
      </c>
      <c r="C4" s="56" t="str">
        <f>'Inc_St 22-24'!G3</f>
        <v>56,499.43</v>
      </c>
      <c r="D4" s="56" t="str">
        <f>'Inc_St 22-24'!F3</f>
        <v>101,138.85</v>
      </c>
      <c r="E4" s="56" t="str">
        <f>'Inc_St 22-24'!E3</f>
        <v>84,435.79</v>
      </c>
      <c r="F4" s="56">
        <f>(1+F25)*E4</f>
        <v>110819.28970829086</v>
      </c>
      <c r="G4" s="56">
        <f t="shared" ref="G4:J4" si="0">(1+G25)*F4</f>
        <v>118982.15065516095</v>
      </c>
      <c r="H4" s="56">
        <f t="shared" si="0"/>
        <v>141953.28555818211</v>
      </c>
      <c r="I4" s="56">
        <f t="shared" si="0"/>
        <v>160884.3824110009</v>
      </c>
      <c r="J4" s="56">
        <f t="shared" si="0"/>
        <v>187142.73767672546</v>
      </c>
    </row>
    <row r="5" spans="2:10" x14ac:dyDescent="0.25">
      <c r="B5" s="42" t="s">
        <v>8</v>
      </c>
      <c r="C5" s="56" t="str">
        <f>'Inc_St 22-24'!G7</f>
        <v>22,620.06</v>
      </c>
      <c r="D5" s="56" t="str">
        <f>'Inc_St 22-24'!F7</f>
        <v>29,442.24</v>
      </c>
      <c r="E5" s="56" t="str">
        <f>'Inc_St 22-24'!E7</f>
        <v>32,590.78</v>
      </c>
      <c r="F5" s="56">
        <f>(1+F27)*E5</f>
        <v>43624.22776670639</v>
      </c>
      <c r="G5" s="56">
        <f t="shared" ref="G5:J5" si="1">(1+G27)*F5</f>
        <v>59427.716575404069</v>
      </c>
      <c r="H5" s="56">
        <f t="shared" si="1"/>
        <v>80251.458913085909</v>
      </c>
      <c r="I5" s="56">
        <f t="shared" si="1"/>
        <v>108847.80581456132</v>
      </c>
      <c r="J5" s="56">
        <f t="shared" si="1"/>
        <v>147311.29205446222</v>
      </c>
    </row>
    <row r="6" spans="2:10" x14ac:dyDescent="0.25">
      <c r="B6" s="43" t="s">
        <v>9</v>
      </c>
      <c r="C6" s="57">
        <f>C4-C5</f>
        <v>33879.369999999995</v>
      </c>
      <c r="D6" s="57">
        <f t="shared" ref="D6" si="2">D4-D5</f>
        <v>71696.61</v>
      </c>
      <c r="E6" s="57">
        <f>E4-E5</f>
        <v>51845.009999999995</v>
      </c>
      <c r="F6" s="57">
        <f t="shared" ref="F6:J6" si="3">F4-F5</f>
        <v>67195.06194158447</v>
      </c>
      <c r="G6" s="57">
        <f t="shared" si="3"/>
        <v>59554.43407975688</v>
      </c>
      <c r="H6" s="57">
        <f t="shared" si="3"/>
        <v>61701.826645096196</v>
      </c>
      <c r="I6" s="57">
        <f t="shared" si="3"/>
        <v>52036.576596439583</v>
      </c>
      <c r="J6" s="57">
        <f t="shared" si="3"/>
        <v>39831.445622263243</v>
      </c>
    </row>
    <row r="7" spans="2:10" x14ac:dyDescent="0.25">
      <c r="B7" s="39" t="s">
        <v>10</v>
      </c>
      <c r="C7" s="54"/>
      <c r="D7" s="54"/>
      <c r="E7" s="54"/>
      <c r="F7" s="54"/>
      <c r="G7" s="54"/>
      <c r="H7" s="54"/>
      <c r="I7" s="54"/>
      <c r="J7" s="54"/>
    </row>
    <row r="8" spans="2:10" x14ac:dyDescent="0.25">
      <c r="B8" s="39" t="s">
        <v>11</v>
      </c>
      <c r="C8" s="56">
        <v>538.29999999999995</v>
      </c>
      <c r="D8" s="56">
        <v>799.2</v>
      </c>
      <c r="E8" s="56">
        <v>1317.7</v>
      </c>
      <c r="F8" s="56">
        <f>E8*(1+F28)</f>
        <v>1333.18821252216</v>
      </c>
      <c r="G8" s="56">
        <f t="shared" ref="G8:J8" si="4">F8*(1+G28)</f>
        <v>1351.426171445165</v>
      </c>
      <c r="H8" s="56">
        <f t="shared" si="4"/>
        <v>1368.6122127086585</v>
      </c>
      <c r="I8" s="56">
        <f t="shared" si="4"/>
        <v>1386.6757893764936</v>
      </c>
      <c r="J8" s="56">
        <f t="shared" si="4"/>
        <v>1404.6439381638838</v>
      </c>
    </row>
    <row r="9" spans="2:10" x14ac:dyDescent="0.25">
      <c r="B9" s="42" t="s">
        <v>12</v>
      </c>
      <c r="C9" s="56">
        <f>C7+C8</f>
        <v>538.29999999999995</v>
      </c>
      <c r="D9" s="56">
        <f t="shared" ref="D9:E9" si="5">D7+D8</f>
        <v>799.2</v>
      </c>
      <c r="E9" s="56">
        <f t="shared" si="5"/>
        <v>1317.7</v>
      </c>
      <c r="F9" s="56">
        <f t="shared" ref="F9:J9" si="6">F7+F8</f>
        <v>1333.18821252216</v>
      </c>
      <c r="G9" s="56">
        <f t="shared" si="6"/>
        <v>1351.426171445165</v>
      </c>
      <c r="H9" s="56">
        <f t="shared" si="6"/>
        <v>1368.6122127086585</v>
      </c>
      <c r="I9" s="56">
        <f t="shared" si="6"/>
        <v>1386.6757893764936</v>
      </c>
      <c r="J9" s="56">
        <f t="shared" si="6"/>
        <v>1404.6439381638838</v>
      </c>
    </row>
    <row r="10" spans="2:10" x14ac:dyDescent="0.25">
      <c r="B10" s="43" t="s">
        <v>13</v>
      </c>
      <c r="C10" s="57">
        <f>C6-C9</f>
        <v>33341.069999999992</v>
      </c>
      <c r="D10" s="57">
        <f t="shared" ref="D10:E10" si="7">D6-D9</f>
        <v>70897.41</v>
      </c>
      <c r="E10" s="57">
        <f t="shared" si="7"/>
        <v>50527.31</v>
      </c>
      <c r="F10" s="57">
        <f t="shared" ref="F10:J10" si="8">F6-F9</f>
        <v>65861.87372906231</v>
      </c>
      <c r="G10" s="57">
        <f t="shared" si="8"/>
        <v>58203.007908311716</v>
      </c>
      <c r="H10" s="57">
        <f t="shared" si="8"/>
        <v>60333.21443238754</v>
      </c>
      <c r="I10" s="57">
        <f t="shared" si="8"/>
        <v>50649.900807063088</v>
      </c>
      <c r="J10" s="57">
        <f t="shared" si="8"/>
        <v>38426.801684099359</v>
      </c>
    </row>
    <row r="11" spans="2:10" x14ac:dyDescent="0.25">
      <c r="B11" s="42" t="s">
        <v>14</v>
      </c>
      <c r="C11" s="56" t="str">
        <f>'Inc_St 22-24'!G12</f>
        <v>155.44</v>
      </c>
      <c r="D11" s="56" t="str">
        <f>'Inc_St 22-24'!F12</f>
        <v>158.90</v>
      </c>
      <c r="E11" s="56" t="str">
        <f>'Inc_St 22-24'!E12</f>
        <v>165.81</v>
      </c>
      <c r="F11" s="56">
        <f>'Fixed Assets'!F5</f>
        <v>261.52774449867837</v>
      </c>
      <c r="G11" s="56">
        <f>'Fixed Assets'!G5</f>
        <v>305.42678875280382</v>
      </c>
      <c r="H11" s="56">
        <f>'Fixed Assets'!H5</f>
        <v>380.22626954128538</v>
      </c>
      <c r="I11" s="56">
        <f>'Fixed Assets'!I5</f>
        <v>499.30514420780975</v>
      </c>
      <c r="J11" s="56">
        <f>'Fixed Assets'!J5</f>
        <v>618.59233012994287</v>
      </c>
    </row>
    <row r="12" spans="2:10" x14ac:dyDescent="0.25">
      <c r="B12" s="43" t="s">
        <v>15</v>
      </c>
      <c r="C12" s="57">
        <f>C10-C11</f>
        <v>33185.62999999999</v>
      </c>
      <c r="D12" s="57">
        <f t="shared" ref="D12:J12" si="9">D10-D11</f>
        <v>70738.510000000009</v>
      </c>
      <c r="E12" s="57">
        <f t="shared" si="9"/>
        <v>50361.5</v>
      </c>
      <c r="F12" s="57">
        <f t="shared" si="9"/>
        <v>65600.345984563639</v>
      </c>
      <c r="G12" s="57">
        <f t="shared" si="9"/>
        <v>57897.581119558912</v>
      </c>
      <c r="H12" s="57">
        <f t="shared" si="9"/>
        <v>59952.988162846254</v>
      </c>
      <c r="I12" s="57">
        <f t="shared" si="9"/>
        <v>50150.595662855281</v>
      </c>
      <c r="J12" s="57">
        <f t="shared" si="9"/>
        <v>37808.209353969418</v>
      </c>
    </row>
    <row r="13" spans="2:10" x14ac:dyDescent="0.25">
      <c r="B13" s="42" t="s">
        <v>16</v>
      </c>
      <c r="C13" s="56" t="str">
        <f>'Inc_St 22-24'!G20</f>
        <v>365.59</v>
      </c>
      <c r="D13" s="56" t="str">
        <f>'Inc_St 22-24'!F20</f>
        <v>392.08</v>
      </c>
      <c r="E13" s="56" t="str">
        <f>'Inc_St 22-24'!E20</f>
        <v>487.73</v>
      </c>
      <c r="F13" s="56">
        <f>F12*F29</f>
        <v>499.45634932093111</v>
      </c>
      <c r="G13" s="56">
        <f t="shared" ref="G13:J13" si="10">G12*G29</f>
        <v>440.81039614168913</v>
      </c>
      <c r="H13" s="56">
        <f t="shared" si="10"/>
        <v>456.45949193228739</v>
      </c>
      <c r="I13" s="56">
        <f t="shared" si="10"/>
        <v>381.82776401718752</v>
      </c>
      <c r="J13" s="56">
        <f t="shared" si="10"/>
        <v>287.85747902516425</v>
      </c>
    </row>
    <row r="14" spans="2:10" x14ac:dyDescent="0.25">
      <c r="B14" s="43" t="s">
        <v>17</v>
      </c>
      <c r="C14" s="57">
        <f>C12-C13</f>
        <v>32820.039999999994</v>
      </c>
      <c r="D14" s="57">
        <f t="shared" ref="D14:E14" si="11">D12-D13</f>
        <v>70346.430000000008</v>
      </c>
      <c r="E14" s="57">
        <f>E12-E13</f>
        <v>49873.77</v>
      </c>
      <c r="F14" s="57">
        <f t="shared" ref="F14:J14" si="12">F12-F13</f>
        <v>65100.889635242711</v>
      </c>
      <c r="G14" s="57">
        <f t="shared" si="12"/>
        <v>57456.770723417227</v>
      </c>
      <c r="H14" s="57">
        <f t="shared" si="12"/>
        <v>59496.528670913969</v>
      </c>
      <c r="I14" s="57">
        <f t="shared" si="12"/>
        <v>49768.767898838094</v>
      </c>
      <c r="J14" s="57">
        <f t="shared" si="12"/>
        <v>37520.351874944252</v>
      </c>
    </row>
    <row r="15" spans="2:10" x14ac:dyDescent="0.25">
      <c r="B15" s="39" t="s">
        <v>18</v>
      </c>
      <c r="C15" s="56" t="str">
        <f>C11</f>
        <v>155.44</v>
      </c>
      <c r="D15" s="56" t="str">
        <f t="shared" ref="D15:E15" si="13">D11</f>
        <v>158.90</v>
      </c>
      <c r="E15" s="56" t="str">
        <f t="shared" si="13"/>
        <v>165.81</v>
      </c>
      <c r="F15" s="56">
        <f>F11</f>
        <v>261.52774449867837</v>
      </c>
      <c r="G15" s="56">
        <f t="shared" ref="G15:J15" si="14">G11</f>
        <v>305.42678875280382</v>
      </c>
      <c r="H15" s="56">
        <f t="shared" si="14"/>
        <v>380.22626954128538</v>
      </c>
      <c r="I15" s="56">
        <f t="shared" si="14"/>
        <v>499.30514420780975</v>
      </c>
      <c r="J15" s="56">
        <f t="shared" si="14"/>
        <v>618.59233012994287</v>
      </c>
    </row>
    <row r="16" spans="2:10" x14ac:dyDescent="0.25">
      <c r="B16" s="39" t="s">
        <v>19</v>
      </c>
      <c r="C16" s="56">
        <f>'Fixed Assets'!C6</f>
        <v>399.72999999999996</v>
      </c>
      <c r="D16" s="56">
        <f>'Fixed Assets'!D6</f>
        <v>344.51</v>
      </c>
      <c r="E16" s="56">
        <f>'Fixed Assets'!E6</f>
        <v>314.56000000000012</v>
      </c>
      <c r="F16" s="56">
        <f>'Fixed Assets'!F6</f>
        <v>597.29893142478693</v>
      </c>
      <c r="G16" s="56">
        <f>'Fixed Assets'!G6</f>
        <v>652.3583605003264</v>
      </c>
      <c r="H16" s="56">
        <f>'Fixed Assets'!H6</f>
        <v>807.91769375083697</v>
      </c>
      <c r="I16" s="56">
        <f>'Fixed Assets'!I6</f>
        <v>1091.5377857877515</v>
      </c>
      <c r="J16" s="56">
        <f>'Fixed Assets'!J6</f>
        <v>1329.6823184315979</v>
      </c>
    </row>
    <row r="17" spans="2:10" x14ac:dyDescent="0.25">
      <c r="B17" s="39" t="s">
        <v>20</v>
      </c>
      <c r="C17" s="56"/>
      <c r="D17" s="56">
        <f>D18-C18</f>
        <v>-809.14999999999964</v>
      </c>
      <c r="E17" s="56">
        <f t="shared" ref="E17:J17" si="15">E18-D18</f>
        <v>903.67999999999847</v>
      </c>
      <c r="F17" s="56">
        <f t="shared" si="15"/>
        <v>4874.9007809150316</v>
      </c>
      <c r="G17" s="56">
        <f t="shared" si="15"/>
        <v>4285.6660626989724</v>
      </c>
      <c r="H17" s="56">
        <f t="shared" si="15"/>
        <v>7292.0008150073008</v>
      </c>
      <c r="I17" s="56">
        <f t="shared" si="15"/>
        <v>9993.6749513724571</v>
      </c>
      <c r="J17" s="56">
        <f t="shared" si="15"/>
        <v>12501.344980570051</v>
      </c>
    </row>
    <row r="18" spans="2:10" x14ac:dyDescent="0.25">
      <c r="B18" s="44" t="s">
        <v>21</v>
      </c>
      <c r="C18" s="53">
        <f>C19-C20</f>
        <v>8353.77</v>
      </c>
      <c r="D18" s="55">
        <f t="shared" ref="D18:E18" si="16">D19-D20</f>
        <v>7544.6200000000008</v>
      </c>
      <c r="E18" s="55">
        <f t="shared" si="16"/>
        <v>8448.2999999999993</v>
      </c>
      <c r="F18" s="55">
        <f t="shared" ref="F18" si="17">F19-F20</f>
        <v>13323.200780915031</v>
      </c>
      <c r="G18" s="55">
        <f t="shared" ref="G18" si="18">G19-G20</f>
        <v>17608.866843614003</v>
      </c>
      <c r="H18" s="55">
        <f t="shared" ref="H18" si="19">H19-H20</f>
        <v>24900.867658621304</v>
      </c>
      <c r="I18" s="55">
        <f t="shared" ref="I18" si="20">I19-I20</f>
        <v>34894.542609993761</v>
      </c>
      <c r="J18" s="55">
        <f t="shared" ref="J18" si="21">J19-J20</f>
        <v>47395.887590563812</v>
      </c>
    </row>
    <row r="19" spans="2:10" x14ac:dyDescent="0.25">
      <c r="B19" s="44" t="s">
        <v>22</v>
      </c>
      <c r="C19" s="56">
        <f>'Net Working Capital'!C7</f>
        <v>9853.69</v>
      </c>
      <c r="D19" s="56">
        <f>'Net Working Capital'!D7</f>
        <v>9998.84</v>
      </c>
      <c r="E19" s="56">
        <f>'Net Working Capital'!E7</f>
        <v>11062.84</v>
      </c>
      <c r="F19" s="56">
        <f>'Net Working Capital'!F7</f>
        <v>16009.011576277475</v>
      </c>
      <c r="G19" s="56">
        <f>'Net Working Capital'!G7</f>
        <v>20368.528555822653</v>
      </c>
      <c r="H19" s="56">
        <f>'Net Working Capital'!H7</f>
        <v>27739.382957112721</v>
      </c>
      <c r="I19" s="56">
        <f>'Net Working Capital'!I7</f>
        <v>37811.902153208692</v>
      </c>
      <c r="J19" s="56">
        <f>'Net Working Capital'!J7</f>
        <v>50394.784332995347</v>
      </c>
    </row>
    <row r="20" spans="2:10" x14ac:dyDescent="0.25">
      <c r="B20" s="44" t="s">
        <v>23</v>
      </c>
      <c r="C20" s="56">
        <f>'Net Working Capital'!C14</f>
        <v>1499.92</v>
      </c>
      <c r="D20" s="56">
        <f>'Net Working Capital'!D14</f>
        <v>2454.2199999999998</v>
      </c>
      <c r="E20" s="56">
        <f>'Net Working Capital'!E14</f>
        <v>2614.54</v>
      </c>
      <c r="F20" s="56">
        <f>'Net Working Capital'!F14</f>
        <v>2685.8107953624431</v>
      </c>
      <c r="G20" s="56">
        <f>'Net Working Capital'!G14</f>
        <v>2759.6617122086509</v>
      </c>
      <c r="H20" s="56">
        <f>'Net Working Capital'!H14</f>
        <v>2838.5152984914171</v>
      </c>
      <c r="I20" s="56">
        <f>'Net Working Capital'!I14</f>
        <v>2917.3595432149273</v>
      </c>
      <c r="J20" s="56">
        <f>'Net Working Capital'!J14</f>
        <v>2998.8967424315338</v>
      </c>
    </row>
    <row r="21" spans="2:10" x14ac:dyDescent="0.25">
      <c r="B21" s="45" t="s">
        <v>24</v>
      </c>
      <c r="C21" s="58">
        <f>C14+C15-C16-C17</f>
        <v>32575.749999999996</v>
      </c>
      <c r="D21" s="58">
        <f t="shared" ref="D21:J21" si="22">D14+D15-D16-D17</f>
        <v>70969.97</v>
      </c>
      <c r="E21" s="58">
        <f t="shared" si="22"/>
        <v>48821.34</v>
      </c>
      <c r="F21" s="58">
        <f t="shared" si="22"/>
        <v>59890.217667401565</v>
      </c>
      <c r="G21" s="58">
        <f t="shared" si="22"/>
        <v>52824.173088970725</v>
      </c>
      <c r="H21" s="58">
        <f t="shared" si="22"/>
        <v>51776.836431697113</v>
      </c>
      <c r="I21" s="58">
        <f t="shared" si="22"/>
        <v>39182.86030588569</v>
      </c>
      <c r="J21" s="58">
        <f t="shared" si="22"/>
        <v>24307.916906072547</v>
      </c>
    </row>
    <row r="23" spans="2:10" x14ac:dyDescent="0.25">
      <c r="B23" s="1" t="s">
        <v>30</v>
      </c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2" t="str">
        <f t="shared" ref="B24:J24" si="23">B3</f>
        <v>Fiscal Year</v>
      </c>
      <c r="C24" s="37">
        <v>44926</v>
      </c>
      <c r="D24" s="37">
        <v>45291</v>
      </c>
      <c r="E24" s="37">
        <v>45657</v>
      </c>
      <c r="F24" s="38">
        <v>46022</v>
      </c>
      <c r="G24" s="38">
        <v>46387</v>
      </c>
      <c r="H24" s="38">
        <v>46752</v>
      </c>
      <c r="I24" s="38">
        <v>47118</v>
      </c>
      <c r="J24" s="38">
        <v>47483</v>
      </c>
    </row>
    <row r="25" spans="2:10" x14ac:dyDescent="0.25">
      <c r="B25" s="12" t="s">
        <v>370</v>
      </c>
      <c r="C25" s="12"/>
      <c r="D25" s="13">
        <f>(D4-C4)/C4</f>
        <v>0.79008620086963721</v>
      </c>
      <c r="E25" s="13">
        <f t="shared" ref="E25:E26" si="24">(E4-D4)/D4</f>
        <v>-0.16514979159838195</v>
      </c>
      <c r="F25" s="13">
        <f>AVERAGE(D25:E25)</f>
        <v>0.31246820463562763</v>
      </c>
      <c r="G25" s="13">
        <f t="shared" ref="G25:J26" si="25">AVERAGE(E25:F25)</f>
        <v>7.3659206518622844E-2</v>
      </c>
      <c r="H25" s="13">
        <f t="shared" si="25"/>
        <v>0.19306370557712524</v>
      </c>
      <c r="I25" s="13">
        <f t="shared" si="25"/>
        <v>0.13336145604787403</v>
      </c>
      <c r="J25" s="13">
        <f t="shared" si="25"/>
        <v>0.16321258081249962</v>
      </c>
    </row>
    <row r="26" spans="2:10" x14ac:dyDescent="0.25">
      <c r="B26" s="12"/>
      <c r="C26" s="12"/>
      <c r="D26" s="13"/>
      <c r="E26" s="13"/>
      <c r="F26" s="13"/>
      <c r="G26" s="13"/>
      <c r="H26" s="13"/>
      <c r="I26" s="13"/>
      <c r="J26" s="13"/>
    </row>
    <row r="27" spans="2:10" x14ac:dyDescent="0.25">
      <c r="B27" s="12" t="s">
        <v>371</v>
      </c>
      <c r="C27" s="13">
        <f>C5/C4</f>
        <v>0.40035908326862768</v>
      </c>
      <c r="D27" s="13">
        <f t="shared" ref="D27:E27" si="26">D5/D4</f>
        <v>0.291107126489969</v>
      </c>
      <c r="E27" s="13">
        <f t="shared" si="26"/>
        <v>0.38598300554776593</v>
      </c>
      <c r="F27" s="13">
        <f t="shared" ref="F27:J27" si="27">AVERAGE(D27:E27)</f>
        <v>0.33854506601886747</v>
      </c>
      <c r="G27" s="13">
        <f t="shared" si="27"/>
        <v>0.36226403578331667</v>
      </c>
      <c r="H27" s="13">
        <f t="shared" si="27"/>
        <v>0.35040455090109207</v>
      </c>
      <c r="I27" s="13">
        <f t="shared" si="27"/>
        <v>0.35633429334220434</v>
      </c>
      <c r="J27" s="13">
        <f t="shared" si="27"/>
        <v>0.35336942212164824</v>
      </c>
    </row>
    <row r="28" spans="2:10" x14ac:dyDescent="0.25">
      <c r="B28" s="12" t="s">
        <v>372</v>
      </c>
      <c r="C28" s="13">
        <f>C8/C4</f>
        <v>9.5275297467602767E-3</v>
      </c>
      <c r="D28" s="13">
        <f t="shared" ref="D28:E28" si="28">D8/D4</f>
        <v>7.9020079820959002E-3</v>
      </c>
      <c r="E28" s="13">
        <f t="shared" si="28"/>
        <v>1.5605941508926489E-2</v>
      </c>
      <c r="F28" s="13">
        <f t="shared" ref="F28:J28" si="29">AVERAGE(D28:E28)</f>
        <v>1.1753974745511195E-2</v>
      </c>
      <c r="G28" s="13">
        <f t="shared" si="29"/>
        <v>1.3679958127218842E-2</v>
      </c>
      <c r="H28" s="13">
        <f t="shared" si="29"/>
        <v>1.2716966436365018E-2</v>
      </c>
      <c r="I28" s="13">
        <f t="shared" si="29"/>
        <v>1.3198462281791931E-2</v>
      </c>
      <c r="J28" s="13">
        <f t="shared" si="29"/>
        <v>1.2957714359078474E-2</v>
      </c>
    </row>
    <row r="29" spans="2:10" x14ac:dyDescent="0.25">
      <c r="B29" s="12" t="s">
        <v>373</v>
      </c>
      <c r="C29" s="13">
        <f>C13/C12</f>
        <v>1.1016515280861026E-2</v>
      </c>
      <c r="D29" s="13">
        <f t="shared" ref="D29:J29" si="30">D13/D12</f>
        <v>5.5426669292299195E-3</v>
      </c>
      <c r="E29" s="13">
        <f t="shared" si="30"/>
        <v>9.6845804831071358E-3</v>
      </c>
      <c r="F29" s="13">
        <f t="shared" ref="F29:J29" si="31">AVERAGE(D29:E29)</f>
        <v>7.6136237061685281E-3</v>
      </c>
      <c r="G29" s="13">
        <v>7.6136237061685281E-3</v>
      </c>
      <c r="H29" s="13">
        <v>7.6136237061685281E-3</v>
      </c>
      <c r="I29" s="13">
        <v>7.6136237061685281E-3</v>
      </c>
      <c r="J29" s="13">
        <v>7.6136237061685281E-3</v>
      </c>
    </row>
  </sheetData>
  <pageMargins left="0.7" right="0.7" top="0.75" bottom="0.75" header="0.3" footer="0.3"/>
  <ignoredErrors>
    <ignoredError sqref="C13:E13 F13:J1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3119-EC8A-43AC-88A8-5BB3953E929E}">
  <dimension ref="B2:J12"/>
  <sheetViews>
    <sheetView workbookViewId="0">
      <selection activeCell="F9" sqref="F9"/>
    </sheetView>
  </sheetViews>
  <sheetFormatPr defaultRowHeight="15" x14ac:dyDescent="0.25"/>
  <cols>
    <col min="2" max="2" width="29.28515625" bestFit="1" customWidth="1"/>
  </cols>
  <sheetData>
    <row r="2" spans="2:10" x14ac:dyDescent="0.25">
      <c r="B2" s="16" t="s">
        <v>25</v>
      </c>
      <c r="C2" s="16"/>
      <c r="D2" s="16"/>
      <c r="E2" s="16"/>
      <c r="F2" s="16"/>
      <c r="G2" s="16"/>
      <c r="H2" s="16"/>
      <c r="I2" s="16"/>
      <c r="J2" s="16"/>
    </row>
    <row r="3" spans="2:10" x14ac:dyDescent="0.25">
      <c r="B3" s="36" t="s">
        <v>6</v>
      </c>
      <c r="C3" s="37">
        <v>44926</v>
      </c>
      <c r="D3" s="37">
        <v>45291</v>
      </c>
      <c r="E3" s="37">
        <v>45657</v>
      </c>
      <c r="F3" s="38">
        <v>46022</v>
      </c>
      <c r="G3" s="38">
        <v>46387</v>
      </c>
      <c r="H3" s="38">
        <v>46752</v>
      </c>
      <c r="I3" s="38">
        <v>47118</v>
      </c>
      <c r="J3" s="38">
        <v>47483</v>
      </c>
    </row>
    <row r="4" spans="2:10" x14ac:dyDescent="0.25">
      <c r="B4" s="39" t="s">
        <v>26</v>
      </c>
      <c r="C4" s="56">
        <v>450</v>
      </c>
      <c r="D4" s="56" t="str">
        <f>C7</f>
        <v>694.29</v>
      </c>
      <c r="E4" s="56" t="str">
        <f>D7</f>
        <v>879.90</v>
      </c>
      <c r="F4" s="56" t="str">
        <f t="shared" ref="F4:J4" si="0">E7</f>
        <v>1,028.65</v>
      </c>
      <c r="G4" s="56">
        <f t="shared" si="0"/>
        <v>1364.4211869261085</v>
      </c>
      <c r="H4" s="56">
        <f>G7</f>
        <v>1711.3527586736311</v>
      </c>
      <c r="I4" s="56">
        <f t="shared" si="0"/>
        <v>2139.0441828831827</v>
      </c>
      <c r="J4" s="56">
        <f t="shared" si="0"/>
        <v>2731.2768244631243</v>
      </c>
    </row>
    <row r="5" spans="2:10" x14ac:dyDescent="0.25">
      <c r="B5" s="39" t="s">
        <v>27</v>
      </c>
      <c r="C5" s="56" t="str">
        <f>'Inc_St 22-24'!G12</f>
        <v>155.44</v>
      </c>
      <c r="D5" s="56" t="str">
        <f>'Inc_St 22-24'!F12</f>
        <v>158.90</v>
      </c>
      <c r="E5" s="56" t="str">
        <f>'Inc_St 22-24'!E12</f>
        <v>165.81</v>
      </c>
      <c r="F5" s="56">
        <f>F11*F4</f>
        <v>261.52774449867837</v>
      </c>
      <c r="G5" s="56">
        <f t="shared" ref="G5:J5" si="1">G11*G4</f>
        <v>305.42678875280382</v>
      </c>
      <c r="H5" s="56">
        <f t="shared" si="1"/>
        <v>380.22626954128538</v>
      </c>
      <c r="I5" s="56">
        <f t="shared" si="1"/>
        <v>499.30514420780975</v>
      </c>
      <c r="J5" s="56">
        <f t="shared" si="1"/>
        <v>618.59233012994287</v>
      </c>
    </row>
    <row r="6" spans="2:10" x14ac:dyDescent="0.25">
      <c r="B6" s="39" t="s">
        <v>28</v>
      </c>
      <c r="C6" s="56">
        <f>C7-C4+C5</f>
        <v>399.72999999999996</v>
      </c>
      <c r="D6" s="56">
        <f>D7-D4+D5</f>
        <v>344.51</v>
      </c>
      <c r="E6" s="56">
        <f>E7-E4+E5</f>
        <v>314.56000000000012</v>
      </c>
      <c r="F6" s="56">
        <f>F12*F4</f>
        <v>597.29893142478693</v>
      </c>
      <c r="G6" s="56">
        <f t="shared" ref="G6:J6" si="2">G12*G4</f>
        <v>652.3583605003264</v>
      </c>
      <c r="H6" s="56">
        <f t="shared" si="2"/>
        <v>807.91769375083697</v>
      </c>
      <c r="I6" s="56">
        <f>I12*I4</f>
        <v>1091.5377857877515</v>
      </c>
      <c r="J6" s="56">
        <f t="shared" si="2"/>
        <v>1329.6823184315979</v>
      </c>
    </row>
    <row r="7" spans="2:10" x14ac:dyDescent="0.25">
      <c r="B7" s="40" t="s">
        <v>29</v>
      </c>
      <c r="C7" s="59" t="str">
        <f>'BS 22-24'!H5</f>
        <v>694.29</v>
      </c>
      <c r="D7" s="59" t="str">
        <f>'BS 22-24'!G5</f>
        <v>879.90</v>
      </c>
      <c r="E7" s="59" t="str">
        <f>'BS 22-24'!F5</f>
        <v>1,028.65</v>
      </c>
      <c r="F7" s="59">
        <f>F4-F5+F6</f>
        <v>1364.4211869261085</v>
      </c>
      <c r="G7" s="59">
        <f t="shared" ref="G7:J7" si="3">G4-G5+G6</f>
        <v>1711.3527586736311</v>
      </c>
      <c r="H7" s="59">
        <f t="shared" si="3"/>
        <v>2139.0441828831827</v>
      </c>
      <c r="I7" s="59">
        <f t="shared" si="3"/>
        <v>2731.2768244631243</v>
      </c>
      <c r="J7" s="59">
        <f t="shared" si="3"/>
        <v>3442.3668127647798</v>
      </c>
    </row>
    <row r="8" spans="2:10" x14ac:dyDescent="0.25">
      <c r="D8" s="52"/>
      <c r="E8" s="9"/>
    </row>
    <row r="9" spans="2:10" x14ac:dyDescent="0.25">
      <c r="B9" s="1" t="s">
        <v>30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2" t="s">
        <v>6</v>
      </c>
      <c r="C10" s="3">
        <v>44926</v>
      </c>
      <c r="D10" s="3">
        <v>45291</v>
      </c>
      <c r="E10" s="3">
        <v>45657</v>
      </c>
      <c r="F10" s="4">
        <v>46022</v>
      </c>
      <c r="G10" s="4">
        <v>46387</v>
      </c>
      <c r="H10" s="4">
        <v>46752</v>
      </c>
      <c r="I10" s="4">
        <v>47118</v>
      </c>
      <c r="J10" s="4">
        <v>47483</v>
      </c>
    </row>
    <row r="11" spans="2:10" x14ac:dyDescent="0.25">
      <c r="B11" s="12" t="s">
        <v>31</v>
      </c>
      <c r="C11" s="13">
        <f>C5/C4</f>
        <v>0.34542222222222224</v>
      </c>
      <c r="D11" s="13">
        <f>D5/D4</f>
        <v>0.22886689999855969</v>
      </c>
      <c r="E11" s="13">
        <f t="shared" ref="E11" si="4">E5/E4</f>
        <v>0.18844186839413571</v>
      </c>
      <c r="F11" s="13">
        <f>AVERAGE(C11:E11)</f>
        <v>0.25424366353830591</v>
      </c>
      <c r="G11" s="13">
        <f>AVERAGE(D11:F11)</f>
        <v>0.2238508106436671</v>
      </c>
      <c r="H11" s="13">
        <f t="shared" ref="G11:J12" si="5">AVERAGE(E11:G11)</f>
        <v>0.22217878085870291</v>
      </c>
      <c r="I11" s="13">
        <f t="shared" si="5"/>
        <v>0.23342441834689198</v>
      </c>
      <c r="J11" s="13">
        <f t="shared" si="5"/>
        <v>0.226484669949754</v>
      </c>
    </row>
    <row r="12" spans="2:10" x14ac:dyDescent="0.25">
      <c r="B12" s="12" t="s">
        <v>32</v>
      </c>
      <c r="C12" s="13">
        <f>C6/C4</f>
        <v>0.88828888888888879</v>
      </c>
      <c r="D12" s="13">
        <f>D6/D4</f>
        <v>0.49620475593772057</v>
      </c>
      <c r="E12" s="13">
        <f t="shared" ref="E12" si="6">E6/E4</f>
        <v>0.35749516990567126</v>
      </c>
      <c r="F12" s="13">
        <f t="shared" ref="F12" si="7">AVERAGE(C12:E12)</f>
        <v>0.58066293824409354</v>
      </c>
      <c r="G12" s="13">
        <f t="shared" si="5"/>
        <v>0.47812095469582844</v>
      </c>
      <c r="H12" s="13">
        <f t="shared" si="5"/>
        <v>0.47209302094853106</v>
      </c>
      <c r="I12" s="13">
        <f t="shared" si="5"/>
        <v>0.51029230462948438</v>
      </c>
      <c r="J12" s="13">
        <f t="shared" si="5"/>
        <v>0.48683542675794794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68B2-30EE-44A9-9D92-C4BFEEA8FB1B}">
  <dimension ref="B1:J1000"/>
  <sheetViews>
    <sheetView topLeftCell="A16" workbookViewId="0">
      <selection activeCell="D29" sqref="D29"/>
    </sheetView>
  </sheetViews>
  <sheetFormatPr defaultColWidth="14.42578125" defaultRowHeight="15" x14ac:dyDescent="0.25"/>
  <cols>
    <col min="1" max="1" width="8.85546875" customWidth="1"/>
    <col min="2" max="2" width="40.42578125" customWidth="1"/>
    <col min="3" max="3" width="9.42578125" customWidth="1"/>
    <col min="4" max="4" width="10.140625" bestFit="1" customWidth="1"/>
    <col min="5" max="5" width="9.140625" bestFit="1" customWidth="1"/>
    <col min="6" max="10" width="10.7109375" bestFit="1" customWidth="1"/>
    <col min="11" max="25" width="8.85546875" customWidth="1"/>
  </cols>
  <sheetData>
    <row r="1" spans="2:10" ht="14.25" customHeight="1" x14ac:dyDescent="0.25"/>
    <row r="2" spans="2:10" ht="14.25" customHeight="1" x14ac:dyDescent="0.25">
      <c r="B2" s="16" t="s">
        <v>33</v>
      </c>
      <c r="C2" s="16"/>
      <c r="D2" s="16"/>
      <c r="E2" s="16"/>
      <c r="F2" s="16"/>
      <c r="G2" s="16"/>
      <c r="H2" s="16"/>
      <c r="I2" s="16"/>
      <c r="J2" s="16"/>
    </row>
    <row r="3" spans="2:10" ht="14.25" customHeight="1" x14ac:dyDescent="0.25">
      <c r="B3" s="36" t="s">
        <v>6</v>
      </c>
      <c r="C3" s="37">
        <v>44926</v>
      </c>
      <c r="D3" s="37">
        <v>45291</v>
      </c>
      <c r="E3" s="37">
        <v>45657</v>
      </c>
      <c r="F3" s="38">
        <v>46022</v>
      </c>
      <c r="G3" s="38">
        <v>46387</v>
      </c>
      <c r="H3" s="38">
        <v>46752</v>
      </c>
      <c r="I3" s="38">
        <v>47118</v>
      </c>
      <c r="J3" s="38">
        <v>47483</v>
      </c>
    </row>
    <row r="4" spans="2:10" ht="14.25" customHeight="1" x14ac:dyDescent="0.25">
      <c r="B4" s="39" t="s">
        <v>34</v>
      </c>
      <c r="C4" s="56" t="str">
        <f>'BS 22-24'!H18</f>
        <v>329.19</v>
      </c>
      <c r="D4" s="56" t="str">
        <f>'BS 22-24'!G18</f>
        <v>749.49</v>
      </c>
      <c r="E4" s="56" t="str">
        <f>'BS 22-24'!F18</f>
        <v>151.01</v>
      </c>
      <c r="F4" s="56">
        <f>(F21*F18)/360</f>
        <v>555.03455338052845</v>
      </c>
      <c r="G4" s="56">
        <f t="shared" ref="G4:J4" si="0">(G21*G18)/360</f>
        <v>563.47686858652708</v>
      </c>
      <c r="H4" s="56">
        <f t="shared" si="0"/>
        <v>545.70320195945908</v>
      </c>
      <c r="I4" s="56">
        <f t="shared" si="0"/>
        <v>728.72689415033221</v>
      </c>
      <c r="J4" s="56">
        <f t="shared" si="0"/>
        <v>817.78642677764878</v>
      </c>
    </row>
    <row r="5" spans="2:10" ht="14.25" customHeight="1" x14ac:dyDescent="0.25">
      <c r="B5" s="39" t="s">
        <v>35</v>
      </c>
      <c r="C5" s="56" t="str">
        <f>'BS 22-24'!H15</f>
        <v>9,274.48</v>
      </c>
      <c r="D5" s="56" t="str">
        <f>'BS 22-24'!G15</f>
        <v>9,163.66</v>
      </c>
      <c r="E5" s="56" t="str">
        <f>'BS 22-24'!F15</f>
        <v>10,736.95</v>
      </c>
      <c r="F5" s="56">
        <f>(F22*F19)/360</f>
        <v>15278.668940667805</v>
      </c>
      <c r="G5" s="56">
        <f t="shared" ref="G5:J5" si="1">(G22*G19)/360</f>
        <v>19629.4300213065</v>
      </c>
      <c r="H5" s="56">
        <f t="shared" si="1"/>
        <v>27017.68882827137</v>
      </c>
      <c r="I5" s="56">
        <f t="shared" si="1"/>
        <v>36906.812450800564</v>
      </c>
      <c r="J5" s="56">
        <f t="shared" si="1"/>
        <v>49400.282112356275</v>
      </c>
    </row>
    <row r="6" spans="2:10" ht="14.25" customHeight="1" x14ac:dyDescent="0.25">
      <c r="B6" s="39" t="s">
        <v>36</v>
      </c>
      <c r="C6" s="56" t="str">
        <f>'BS 22-24'!H22</f>
        <v>250.02</v>
      </c>
      <c r="D6" s="56" t="str">
        <f>'BS 22-24'!G22</f>
        <v>85.69</v>
      </c>
      <c r="E6" s="56" t="str">
        <f>'BS 22-24'!F22</f>
        <v>174.88</v>
      </c>
      <c r="F6" s="56">
        <f>E6*(1+F25)</f>
        <v>175.30808222914158</v>
      </c>
      <c r="G6" s="56">
        <f t="shared" ref="G6:J6" si="2">F6*(1+G25)</f>
        <v>175.62166592962785</v>
      </c>
      <c r="H6" s="56">
        <f t="shared" si="2"/>
        <v>175.99092688189316</v>
      </c>
      <c r="I6" s="56">
        <f t="shared" si="2"/>
        <v>176.36280825779562</v>
      </c>
      <c r="J6" s="56">
        <f t="shared" si="2"/>
        <v>176.71579386142386</v>
      </c>
    </row>
    <row r="7" spans="2:10" ht="14.25" customHeight="1" x14ac:dyDescent="0.25">
      <c r="B7" s="40" t="s">
        <v>22</v>
      </c>
      <c r="C7" s="59">
        <f>C4+C5+C6</f>
        <v>9853.69</v>
      </c>
      <c r="D7" s="59">
        <f t="shared" ref="D7:J7" si="3">D4+D5+D6</f>
        <v>9998.84</v>
      </c>
      <c r="E7" s="59">
        <f t="shared" si="3"/>
        <v>11062.84</v>
      </c>
      <c r="F7" s="59">
        <f t="shared" si="3"/>
        <v>16009.011576277475</v>
      </c>
      <c r="G7" s="59">
        <f t="shared" si="3"/>
        <v>20368.528555822653</v>
      </c>
      <c r="H7" s="59">
        <f t="shared" si="3"/>
        <v>27739.382957112721</v>
      </c>
      <c r="I7" s="59">
        <f t="shared" si="3"/>
        <v>37811.902153208692</v>
      </c>
      <c r="J7" s="59">
        <f t="shared" si="3"/>
        <v>50394.784332995347</v>
      </c>
    </row>
    <row r="8" spans="2:10" ht="14.25" customHeight="1" x14ac:dyDescent="0.25">
      <c r="F8" s="55"/>
      <c r="G8" s="55"/>
      <c r="H8" s="55"/>
      <c r="I8" s="55"/>
      <c r="J8" s="55"/>
    </row>
    <row r="9" spans="2:10" ht="14.25" customHeight="1" x14ac:dyDescent="0.25">
      <c r="B9" s="39" t="s">
        <v>37</v>
      </c>
      <c r="C9" s="56">
        <v>0</v>
      </c>
      <c r="D9" s="56">
        <v>0</v>
      </c>
      <c r="E9" s="56">
        <v>0</v>
      </c>
      <c r="F9" s="56">
        <f>E9*(1+F25)</f>
        <v>0</v>
      </c>
      <c r="G9" s="56">
        <f t="shared" ref="G9:J9" si="4">F9*(1+G25)</f>
        <v>0</v>
      </c>
      <c r="H9" s="56">
        <f t="shared" si="4"/>
        <v>0</v>
      </c>
      <c r="I9" s="56">
        <f t="shared" si="4"/>
        <v>0</v>
      </c>
      <c r="J9" s="56">
        <f t="shared" si="4"/>
        <v>0</v>
      </c>
    </row>
    <row r="10" spans="2:10" ht="14.25" customHeight="1" x14ac:dyDescent="0.25">
      <c r="B10" s="39" t="s">
        <v>38</v>
      </c>
      <c r="C10" s="56">
        <v>0</v>
      </c>
      <c r="D10" s="56">
        <v>0</v>
      </c>
      <c r="E10" s="56">
        <v>0</v>
      </c>
      <c r="F10" s="56">
        <f t="shared" ref="F10:J10" si="5">E10*(1+F26)</f>
        <v>0</v>
      </c>
      <c r="G10" s="56">
        <f t="shared" si="5"/>
        <v>0</v>
      </c>
      <c r="H10" s="56">
        <f t="shared" si="5"/>
        <v>0</v>
      </c>
      <c r="I10" s="56">
        <f t="shared" si="5"/>
        <v>0</v>
      </c>
      <c r="J10" s="56">
        <f t="shared" si="5"/>
        <v>0</v>
      </c>
    </row>
    <row r="11" spans="2:10" ht="14.25" customHeight="1" x14ac:dyDescent="0.25">
      <c r="B11" s="39" t="s">
        <v>39</v>
      </c>
      <c r="C11" s="56">
        <v>0</v>
      </c>
      <c r="D11" s="56">
        <v>0</v>
      </c>
      <c r="E11" s="56">
        <v>0</v>
      </c>
      <c r="F11" s="56">
        <f t="shared" ref="F11:J11" si="6">E11*(1+F27)</f>
        <v>0</v>
      </c>
      <c r="G11" s="56">
        <f t="shared" si="6"/>
        <v>0</v>
      </c>
      <c r="H11" s="56">
        <f t="shared" si="6"/>
        <v>0</v>
      </c>
      <c r="I11" s="56">
        <f t="shared" si="6"/>
        <v>0</v>
      </c>
      <c r="J11" s="56">
        <f t="shared" si="6"/>
        <v>0</v>
      </c>
    </row>
    <row r="12" spans="2:10" ht="14.25" customHeight="1" x14ac:dyDescent="0.25">
      <c r="B12" s="39" t="s">
        <v>40</v>
      </c>
      <c r="C12" s="56">
        <v>0</v>
      </c>
      <c r="D12" s="56">
        <v>0</v>
      </c>
      <c r="E12" s="56">
        <v>0</v>
      </c>
      <c r="F12" s="56">
        <f t="shared" ref="F12:J12" si="7">E12*(1+F28)</f>
        <v>0</v>
      </c>
      <c r="G12" s="56">
        <f t="shared" si="7"/>
        <v>0</v>
      </c>
      <c r="H12" s="56">
        <f t="shared" si="7"/>
        <v>0</v>
      </c>
      <c r="I12" s="56">
        <f t="shared" si="7"/>
        <v>0</v>
      </c>
      <c r="J12" s="56">
        <f t="shared" si="7"/>
        <v>0</v>
      </c>
    </row>
    <row r="13" spans="2:10" ht="14.25" customHeight="1" x14ac:dyDescent="0.25">
      <c r="B13" s="39" t="s">
        <v>41</v>
      </c>
      <c r="C13" s="56" t="str">
        <f>'BS 22-24'!H47</f>
        <v>1,499.92</v>
      </c>
      <c r="D13" s="56" t="str">
        <f>'BS 22-24'!G47</f>
        <v>2,454.22</v>
      </c>
      <c r="E13" s="56" t="str">
        <f>'BS 22-24'!F47</f>
        <v>2,614.54</v>
      </c>
      <c r="F13" s="56">
        <f>E13*(1+F29)</f>
        <v>2685.8107953624431</v>
      </c>
      <c r="G13" s="56">
        <f t="shared" ref="G13:J13" si="8">F13*(1+G29)</f>
        <v>2759.6617122086509</v>
      </c>
      <c r="H13" s="56">
        <f t="shared" si="8"/>
        <v>2838.5152984914171</v>
      </c>
      <c r="I13" s="56">
        <f t="shared" si="8"/>
        <v>2917.3595432149273</v>
      </c>
      <c r="J13" s="56">
        <f t="shared" si="8"/>
        <v>2998.8967424315338</v>
      </c>
    </row>
    <row r="14" spans="2:10" ht="14.25" customHeight="1" x14ac:dyDescent="0.25">
      <c r="B14" s="40" t="s">
        <v>42</v>
      </c>
      <c r="C14" s="59">
        <f>C13+C12+C11+C10+C9</f>
        <v>1499.92</v>
      </c>
      <c r="D14" s="59">
        <f t="shared" ref="D14:J14" si="9">D13+D12+D11+D10+D9</f>
        <v>2454.2199999999998</v>
      </c>
      <c r="E14" s="59">
        <f t="shared" si="9"/>
        <v>2614.54</v>
      </c>
      <c r="F14" s="59">
        <f t="shared" si="9"/>
        <v>2685.8107953624431</v>
      </c>
      <c r="G14" s="59">
        <f t="shared" si="9"/>
        <v>2759.6617122086509</v>
      </c>
      <c r="H14" s="59">
        <f t="shared" si="9"/>
        <v>2838.5152984914171</v>
      </c>
      <c r="I14" s="59">
        <f t="shared" si="9"/>
        <v>2917.3595432149273</v>
      </c>
      <c r="J14" s="59">
        <f t="shared" si="9"/>
        <v>2998.8967424315338</v>
      </c>
    </row>
    <row r="15" spans="2:10" ht="14.25" customHeight="1" x14ac:dyDescent="0.25"/>
    <row r="16" spans="2:10" ht="14.25" customHeight="1" x14ac:dyDescent="0.25">
      <c r="B16" s="1" t="s">
        <v>30</v>
      </c>
      <c r="C16" s="1"/>
      <c r="D16" s="1"/>
      <c r="E16" s="1"/>
      <c r="F16" s="1"/>
      <c r="G16" s="1"/>
      <c r="H16" s="1"/>
      <c r="I16" s="1"/>
      <c r="J16" s="1"/>
    </row>
    <row r="17" spans="2:10" ht="14.25" customHeight="1" x14ac:dyDescent="0.25">
      <c r="B17" s="2" t="s">
        <v>6</v>
      </c>
      <c r="C17" s="3">
        <v>44926</v>
      </c>
      <c r="D17" s="3">
        <v>45291</v>
      </c>
      <c r="E17" s="3">
        <v>45657</v>
      </c>
      <c r="F17" s="4">
        <v>46022</v>
      </c>
      <c r="G17" s="4">
        <v>46387</v>
      </c>
      <c r="H17" s="4">
        <v>46752</v>
      </c>
      <c r="I17" s="4">
        <v>47118</v>
      </c>
      <c r="J17" s="4">
        <v>47483</v>
      </c>
    </row>
    <row r="18" spans="2:10" ht="14.25" customHeight="1" x14ac:dyDescent="0.25">
      <c r="B18" s="12" t="s">
        <v>7</v>
      </c>
      <c r="C18" s="56" t="str">
        <f>'Free Cash Flow'!C4</f>
        <v>56,499.43</v>
      </c>
      <c r="D18" s="56" t="str">
        <f>'Free Cash Flow'!D4</f>
        <v>101,138.85</v>
      </c>
      <c r="E18" s="56" t="str">
        <f>'Free Cash Flow'!E4</f>
        <v>84,435.79</v>
      </c>
      <c r="F18" s="56">
        <f>'Free Cash Flow'!F4</f>
        <v>110819.28970829086</v>
      </c>
      <c r="G18" s="56">
        <f>'Free Cash Flow'!G4</f>
        <v>118982.15065516095</v>
      </c>
      <c r="H18" s="56">
        <f>'Free Cash Flow'!H4</f>
        <v>141953.28555818211</v>
      </c>
      <c r="I18" s="56">
        <f>'Free Cash Flow'!I4</f>
        <v>160884.3824110009</v>
      </c>
      <c r="J18" s="56">
        <f>'Free Cash Flow'!J4</f>
        <v>187142.73767672546</v>
      </c>
    </row>
    <row r="19" spans="2:10" ht="14.25" customHeight="1" x14ac:dyDescent="0.25">
      <c r="B19" s="12" t="s">
        <v>8</v>
      </c>
      <c r="C19" s="56" t="str">
        <f>'Free Cash Flow'!C5</f>
        <v>22,620.06</v>
      </c>
      <c r="D19" s="56" t="str">
        <f>'Free Cash Flow'!D5</f>
        <v>29,442.24</v>
      </c>
      <c r="E19" s="56" t="str">
        <f>'Free Cash Flow'!E5</f>
        <v>32,590.78</v>
      </c>
      <c r="F19" s="56">
        <f>'Free Cash Flow'!F5</f>
        <v>43624.22776670639</v>
      </c>
      <c r="G19" s="56">
        <f>'Free Cash Flow'!G5</f>
        <v>59427.716575404069</v>
      </c>
      <c r="H19" s="56">
        <f>'Free Cash Flow'!H5</f>
        <v>80251.458913085909</v>
      </c>
      <c r="I19" s="56">
        <f>'Free Cash Flow'!I5</f>
        <v>108847.80581456132</v>
      </c>
      <c r="J19" s="56">
        <f>'Free Cash Flow'!J5</f>
        <v>147311.29205446222</v>
      </c>
    </row>
    <row r="20" spans="2:10" ht="14.25" customHeight="1" x14ac:dyDescent="0.25">
      <c r="B20" s="12"/>
      <c r="C20" s="56"/>
      <c r="D20" s="56"/>
      <c r="E20" s="56"/>
      <c r="F20" s="56"/>
      <c r="G20" s="56"/>
      <c r="H20" s="56"/>
      <c r="I20" s="56"/>
      <c r="J20" s="56"/>
    </row>
    <row r="21" spans="2:10" ht="14.25" customHeight="1" x14ac:dyDescent="0.25">
      <c r="B21" s="12" t="s">
        <v>43</v>
      </c>
      <c r="C21" s="56">
        <f>C4/C18*360</f>
        <v>2.0975149660801891</v>
      </c>
      <c r="D21" s="56">
        <f t="shared" ref="D21:E21" si="10">D4/D18*360</f>
        <v>2.6677819650905659</v>
      </c>
      <c r="E21" s="56">
        <f t="shared" si="10"/>
        <v>0.64384545937214543</v>
      </c>
      <c r="F21" s="56">
        <f>AVERAGE(C21:E21)</f>
        <v>1.8030474635143001</v>
      </c>
      <c r="G21" s="56">
        <f t="shared" ref="G21:J23" si="11">AVERAGE(D21:F21)</f>
        <v>1.7048916293256706</v>
      </c>
      <c r="H21" s="56">
        <f t="shared" si="11"/>
        <v>1.3839281840707054</v>
      </c>
      <c r="I21" s="56">
        <f t="shared" si="11"/>
        <v>1.630622425636892</v>
      </c>
      <c r="J21" s="56">
        <f t="shared" si="11"/>
        <v>1.5731474130110892</v>
      </c>
    </row>
    <row r="22" spans="2:10" ht="14.25" customHeight="1" x14ac:dyDescent="0.25">
      <c r="B22" s="12" t="s">
        <v>44</v>
      </c>
      <c r="C22" s="56">
        <f>C5/C19*360</f>
        <v>147.60406471070368</v>
      </c>
      <c r="D22" s="56">
        <f>D5/D19*360</f>
        <v>112.04709967719846</v>
      </c>
      <c r="E22" s="56">
        <f t="shared" ref="D22:E22" si="12">E5/E19*360</f>
        <v>118.60108901965526</v>
      </c>
      <c r="F22" s="56">
        <f t="shared" ref="F22:F23" si="13">AVERAGE(C22:E22)</f>
        <v>126.08408446918581</v>
      </c>
      <c r="G22" s="56">
        <f t="shared" si="11"/>
        <v>118.91075772201317</v>
      </c>
      <c r="H22" s="56">
        <f t="shared" si="11"/>
        <v>121.19864373695141</v>
      </c>
      <c r="I22" s="56">
        <f t="shared" si="11"/>
        <v>122.06449530938346</v>
      </c>
      <c r="J22" s="56">
        <f t="shared" si="11"/>
        <v>120.72463225611602</v>
      </c>
    </row>
    <row r="23" spans="2:10" ht="14.25" customHeight="1" x14ac:dyDescent="0.25">
      <c r="B23" s="12" t="s">
        <v>45</v>
      </c>
      <c r="C23" s="56">
        <f>C9/C19*360</f>
        <v>0</v>
      </c>
      <c r="D23" s="56">
        <f t="shared" ref="D23:E23" si="14">D9/D19*360</f>
        <v>0</v>
      </c>
      <c r="E23" s="56">
        <f t="shared" si="14"/>
        <v>0</v>
      </c>
      <c r="F23" s="56">
        <f t="shared" si="13"/>
        <v>0</v>
      </c>
      <c r="G23" s="56">
        <f t="shared" si="11"/>
        <v>0</v>
      </c>
      <c r="H23" s="56">
        <f t="shared" si="11"/>
        <v>0</v>
      </c>
      <c r="I23" s="56">
        <f t="shared" si="11"/>
        <v>0</v>
      </c>
      <c r="J23" s="56">
        <f t="shared" si="11"/>
        <v>0</v>
      </c>
    </row>
    <row r="24" spans="2:10" ht="14.25" customHeight="1" x14ac:dyDescent="0.25">
      <c r="B24" s="12"/>
      <c r="C24" s="12"/>
      <c r="D24" s="12"/>
      <c r="E24" s="12"/>
      <c r="F24" s="12"/>
      <c r="G24" s="12"/>
      <c r="H24" s="12"/>
      <c r="I24" s="12"/>
      <c r="J24" s="12"/>
    </row>
    <row r="25" spans="2:10" ht="14.25" customHeight="1" x14ac:dyDescent="0.25">
      <c r="B25" s="12" t="s">
        <v>46</v>
      </c>
      <c r="C25" s="13">
        <f>C6/C18</f>
        <v>4.4251773867453178E-3</v>
      </c>
      <c r="D25" s="13">
        <f t="shared" ref="D25:E25" si="15">D6/D18</f>
        <v>8.472510810633104E-4</v>
      </c>
      <c r="E25" s="13">
        <f t="shared" si="15"/>
        <v>2.0711596350315429E-3</v>
      </c>
      <c r="F25" s="13">
        <f>AVERAGE(C25:E25)</f>
        <v>2.4478627009467233E-3</v>
      </c>
      <c r="G25" s="13">
        <f t="shared" ref="G25:J29" si="16">AVERAGE(D25:F25)</f>
        <v>1.7887578056805253E-3</v>
      </c>
      <c r="H25" s="13">
        <f t="shared" si="16"/>
        <v>2.1025933805529306E-3</v>
      </c>
      <c r="I25" s="13">
        <f t="shared" si="16"/>
        <v>2.1130712957267267E-3</v>
      </c>
      <c r="J25" s="13">
        <f t="shared" si="16"/>
        <v>2.0014741606533943E-3</v>
      </c>
    </row>
    <row r="26" spans="2:10" ht="14.25" customHeight="1" x14ac:dyDescent="0.25">
      <c r="B26" s="12" t="s">
        <v>47</v>
      </c>
      <c r="C26" s="13">
        <f>C10/C18</f>
        <v>0</v>
      </c>
      <c r="D26" s="13">
        <f t="shared" ref="D26:E26" si="17">D10/D18</f>
        <v>0</v>
      </c>
      <c r="E26" s="13">
        <f t="shared" si="17"/>
        <v>0</v>
      </c>
      <c r="F26" s="13">
        <f t="shared" ref="F26:F29" si="18">AVERAGE(C26:E26)</f>
        <v>0</v>
      </c>
      <c r="G26" s="13">
        <f t="shared" si="16"/>
        <v>0</v>
      </c>
      <c r="H26" s="13">
        <f t="shared" si="16"/>
        <v>0</v>
      </c>
      <c r="I26" s="13">
        <f t="shared" si="16"/>
        <v>0</v>
      </c>
      <c r="J26" s="13">
        <f t="shared" si="16"/>
        <v>0</v>
      </c>
    </row>
    <row r="27" spans="2:10" ht="14.25" customHeight="1" x14ac:dyDescent="0.25">
      <c r="B27" s="12" t="s">
        <v>48</v>
      </c>
      <c r="C27" s="13">
        <f>C11/C18</f>
        <v>0</v>
      </c>
      <c r="D27" s="13">
        <f t="shared" ref="D27:E27" si="19">D11/D18</f>
        <v>0</v>
      </c>
      <c r="E27" s="13">
        <f t="shared" si="19"/>
        <v>0</v>
      </c>
      <c r="F27" s="13">
        <f t="shared" si="18"/>
        <v>0</v>
      </c>
      <c r="G27" s="13">
        <f t="shared" si="16"/>
        <v>0</v>
      </c>
      <c r="H27" s="13">
        <f t="shared" si="16"/>
        <v>0</v>
      </c>
      <c r="I27" s="13">
        <f t="shared" si="16"/>
        <v>0</v>
      </c>
      <c r="J27" s="13">
        <f t="shared" si="16"/>
        <v>0</v>
      </c>
    </row>
    <row r="28" spans="2:10" ht="14.25" customHeight="1" x14ac:dyDescent="0.25">
      <c r="B28" s="12" t="s">
        <v>49</v>
      </c>
      <c r="C28" s="13">
        <f>C12/C18</f>
        <v>0</v>
      </c>
      <c r="D28" s="13">
        <f t="shared" ref="D28:E28" si="20">D12/D18</f>
        <v>0</v>
      </c>
      <c r="E28" s="13">
        <f t="shared" si="20"/>
        <v>0</v>
      </c>
      <c r="F28" s="13">
        <f t="shared" si="18"/>
        <v>0</v>
      </c>
      <c r="G28" s="13">
        <f t="shared" si="16"/>
        <v>0</v>
      </c>
      <c r="H28" s="13">
        <f t="shared" si="16"/>
        <v>0</v>
      </c>
      <c r="I28" s="13">
        <f t="shared" si="16"/>
        <v>0</v>
      </c>
      <c r="J28" s="13">
        <f t="shared" si="16"/>
        <v>0</v>
      </c>
    </row>
    <row r="29" spans="2:10" ht="14.25" customHeight="1" x14ac:dyDescent="0.25">
      <c r="B29" s="12" t="s">
        <v>50</v>
      </c>
      <c r="C29" s="13">
        <f>C14/C18</f>
        <v>2.654752446175121E-2</v>
      </c>
      <c r="D29" s="13">
        <f t="shared" ref="D29:E29" si="21">D14/D18</f>
        <v>2.426584838565991E-2</v>
      </c>
      <c r="E29" s="13">
        <f t="shared" si="21"/>
        <v>3.0964831382521561E-2</v>
      </c>
      <c r="F29" s="13">
        <f t="shared" si="18"/>
        <v>2.7259401409977558E-2</v>
      </c>
      <c r="G29" s="13">
        <f t="shared" si="16"/>
        <v>2.7496693726053009E-2</v>
      </c>
      <c r="H29" s="13">
        <f t="shared" si="16"/>
        <v>2.8573642172850713E-2</v>
      </c>
      <c r="I29" s="13">
        <f t="shared" si="16"/>
        <v>2.7776579102960428E-2</v>
      </c>
      <c r="J29" s="13">
        <f t="shared" si="16"/>
        <v>2.7948971667288047E-2</v>
      </c>
    </row>
    <row r="30" spans="2:10" ht="14.25" customHeight="1" x14ac:dyDescent="0.25"/>
    <row r="31" spans="2:10" ht="14.25" customHeight="1" x14ac:dyDescent="0.25">
      <c r="B31" s="14" t="s">
        <v>51</v>
      </c>
      <c r="C31" s="15"/>
      <c r="D31" s="15"/>
    </row>
    <row r="32" spans="2:10" ht="14.25" customHeight="1" x14ac:dyDescent="0.25">
      <c r="B32" s="14" t="s">
        <v>52</v>
      </c>
      <c r="C32" s="15"/>
      <c r="D32" s="15"/>
    </row>
    <row r="33" spans="2:4" ht="14.25" customHeight="1" x14ac:dyDescent="0.25">
      <c r="B33" s="14" t="s">
        <v>53</v>
      </c>
      <c r="C33" s="15"/>
      <c r="D33" s="15"/>
    </row>
    <row r="34" spans="2:4" ht="14.25" customHeight="1" x14ac:dyDescent="0.25"/>
    <row r="35" spans="2:4" ht="14.25" customHeight="1" x14ac:dyDescent="0.25"/>
    <row r="36" spans="2:4" ht="14.25" customHeight="1" x14ac:dyDescent="0.25"/>
    <row r="37" spans="2:4" ht="14.25" customHeight="1" x14ac:dyDescent="0.25"/>
    <row r="38" spans="2:4" ht="14.25" customHeight="1" x14ac:dyDescent="0.25"/>
    <row r="39" spans="2:4" ht="14.25" customHeight="1" x14ac:dyDescent="0.25"/>
    <row r="40" spans="2:4" ht="14.25" customHeight="1" x14ac:dyDescent="0.25"/>
    <row r="41" spans="2:4" ht="14.25" customHeight="1" x14ac:dyDescent="0.25"/>
    <row r="42" spans="2:4" ht="14.25" customHeight="1" x14ac:dyDescent="0.25"/>
    <row r="43" spans="2:4" ht="14.25" customHeight="1" x14ac:dyDescent="0.25"/>
    <row r="44" spans="2:4" ht="14.25" customHeight="1" x14ac:dyDescent="0.25"/>
    <row r="45" spans="2:4" ht="14.25" customHeight="1" x14ac:dyDescent="0.25"/>
    <row r="46" spans="2:4" ht="14.25" customHeight="1" x14ac:dyDescent="0.25"/>
    <row r="47" spans="2:4" ht="14.25" customHeight="1" x14ac:dyDescent="0.25"/>
    <row r="48" spans="2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4227-6FA2-4CDE-9745-0B838EFDA783}">
  <dimension ref="B1:O1000"/>
  <sheetViews>
    <sheetView topLeftCell="A2" workbookViewId="0">
      <selection activeCell="C22" sqref="C22"/>
    </sheetView>
  </sheetViews>
  <sheetFormatPr defaultColWidth="14.42578125" defaultRowHeight="15" x14ac:dyDescent="0.25"/>
  <cols>
    <col min="1" max="1" width="8.85546875" customWidth="1"/>
    <col min="2" max="2" width="28.42578125" customWidth="1"/>
    <col min="3" max="10" width="9.42578125" customWidth="1"/>
    <col min="11" max="11" width="8.140625" customWidth="1"/>
    <col min="12" max="26" width="8.85546875" customWidth="1"/>
  </cols>
  <sheetData>
    <row r="1" spans="2:15" ht="14.25" customHeight="1" x14ac:dyDescent="0.25"/>
    <row r="2" spans="2:15" ht="14.25" customHeight="1" x14ac:dyDescent="0.25">
      <c r="B2" s="1" t="s">
        <v>5</v>
      </c>
      <c r="C2" s="1"/>
      <c r="D2" s="1"/>
      <c r="E2" s="1"/>
      <c r="F2" s="1"/>
      <c r="G2" s="1"/>
      <c r="H2" s="1"/>
      <c r="I2" s="1"/>
      <c r="J2" s="1"/>
      <c r="K2" s="1"/>
    </row>
    <row r="3" spans="2:15" ht="14.25" customHeight="1" x14ac:dyDescent="0.25">
      <c r="B3" s="2" t="s">
        <v>6</v>
      </c>
      <c r="C3" s="3"/>
      <c r="D3" s="3">
        <v>44926</v>
      </c>
      <c r="E3" s="3">
        <v>45291</v>
      </c>
      <c r="F3" s="3">
        <v>45657</v>
      </c>
      <c r="G3" s="4">
        <v>46022</v>
      </c>
      <c r="H3" s="4">
        <v>46387</v>
      </c>
      <c r="I3" s="4">
        <v>46752</v>
      </c>
      <c r="J3" s="4">
        <v>47118</v>
      </c>
      <c r="K3" s="4">
        <v>47483</v>
      </c>
    </row>
    <row r="4" spans="2:15" ht="14.25" customHeight="1" x14ac:dyDescent="0.25">
      <c r="B4" s="5" t="s">
        <v>24</v>
      </c>
      <c r="C4" s="9"/>
      <c r="D4" s="9">
        <f>'Free Cash Flow'!C21</f>
        <v>32575.749999999996</v>
      </c>
      <c r="E4" s="9">
        <f>'Free Cash Flow'!D21</f>
        <v>70969.97</v>
      </c>
      <c r="F4" s="9">
        <f>'Free Cash Flow'!E21</f>
        <v>48821.34</v>
      </c>
      <c r="G4" s="9">
        <f>'Free Cash Flow'!F21</f>
        <v>59890.217667401565</v>
      </c>
      <c r="H4" s="9">
        <f>'Free Cash Flow'!G21</f>
        <v>52824.173088970725</v>
      </c>
      <c r="I4" s="9">
        <f>'Free Cash Flow'!H21</f>
        <v>51776.836431697113</v>
      </c>
      <c r="J4" s="9">
        <f>'Free Cash Flow'!I21</f>
        <v>39182.86030588569</v>
      </c>
      <c r="K4" s="9">
        <f>'Free Cash Flow'!J21</f>
        <v>24307.916906072547</v>
      </c>
    </row>
    <row r="5" spans="2:15" ht="14.25" customHeight="1" x14ac:dyDescent="0.25"/>
    <row r="6" spans="2:15" ht="14.25" customHeight="1" x14ac:dyDescent="0.25">
      <c r="B6" s="5" t="s">
        <v>54</v>
      </c>
      <c r="G6" s="5">
        <v>1</v>
      </c>
      <c r="H6" s="5">
        <v>2</v>
      </c>
      <c r="I6" s="5">
        <v>3</v>
      </c>
      <c r="J6" s="5">
        <v>4</v>
      </c>
      <c r="K6" s="5">
        <v>5</v>
      </c>
    </row>
    <row r="7" spans="2:15" ht="14.25" customHeight="1" x14ac:dyDescent="0.25">
      <c r="B7" s="10" t="s">
        <v>55</v>
      </c>
      <c r="C7" s="10"/>
      <c r="D7" s="10"/>
      <c r="E7" s="10"/>
      <c r="F7" s="10"/>
      <c r="G7" s="11">
        <f>G4/(1+$C$12)^G6</f>
        <v>56615.949456630166</v>
      </c>
      <c r="H7" s="11">
        <f t="shared" ref="H7:K7" si="0">H4/(1+$C$12)^H6</f>
        <v>47206.142612429961</v>
      </c>
      <c r="I7" s="11">
        <f t="shared" si="0"/>
        <v>43740.548188199595</v>
      </c>
      <c r="J7" s="11">
        <f t="shared" si="0"/>
        <v>31291.598510669541</v>
      </c>
      <c r="K7" s="11">
        <f t="shared" si="0"/>
        <v>18351.106684057791</v>
      </c>
    </row>
    <row r="8" spans="2:15" ht="14.25" customHeight="1" x14ac:dyDescent="0.25"/>
    <row r="9" spans="2:15" ht="14.25" customHeight="1" x14ac:dyDescent="0.25">
      <c r="B9" s="49" t="s">
        <v>56</v>
      </c>
      <c r="C9" s="50"/>
      <c r="E9" s="49" t="s">
        <v>57</v>
      </c>
      <c r="F9" s="50"/>
      <c r="G9" s="50"/>
      <c r="H9" s="50"/>
      <c r="I9" s="50"/>
      <c r="J9" s="50"/>
      <c r="K9" s="50"/>
    </row>
    <row r="10" spans="2:15" ht="14.25" customHeight="1" x14ac:dyDescent="0.25">
      <c r="B10" s="17" t="s">
        <v>58</v>
      </c>
      <c r="C10" s="9">
        <f>SUM(G7:K7)</f>
        <v>197205.34545198706</v>
      </c>
    </row>
    <row r="11" spans="2:15" ht="14.25" customHeight="1" x14ac:dyDescent="0.25">
      <c r="B11" s="17" t="s">
        <v>59</v>
      </c>
      <c r="C11" s="18">
        <v>0.03</v>
      </c>
      <c r="E11" s="17"/>
      <c r="F11" s="17"/>
      <c r="G11" s="49" t="s">
        <v>59</v>
      </c>
      <c r="H11" s="50"/>
      <c r="I11" s="50"/>
      <c r="J11" s="50"/>
      <c r="K11" s="50"/>
    </row>
    <row r="12" spans="2:15" ht="15" customHeight="1" x14ac:dyDescent="0.25">
      <c r="B12" s="17" t="s">
        <v>60</v>
      </c>
      <c r="C12" s="19">
        <f>WACC!C18</f>
        <v>5.7832964777524427E-2</v>
      </c>
      <c r="E12" s="17"/>
      <c r="F12" s="20">
        <f>C21</f>
        <v>830.00394759362018</v>
      </c>
      <c r="G12" s="21">
        <v>0.02</v>
      </c>
      <c r="H12" s="21">
        <v>2.5000000000000001E-2</v>
      </c>
      <c r="I12" s="21">
        <v>0.03</v>
      </c>
      <c r="J12" s="21">
        <v>3.5000000000000003E-2</v>
      </c>
      <c r="K12" s="21">
        <v>0.04</v>
      </c>
      <c r="O12" s="60"/>
    </row>
    <row r="13" spans="2:15" ht="14.25" customHeight="1" x14ac:dyDescent="0.25">
      <c r="B13" s="17" t="s">
        <v>61</v>
      </c>
      <c r="C13" s="9">
        <f>K4*(1+C11)/(C12-C11)</f>
        <v>899550.39333332656</v>
      </c>
      <c r="E13" s="51" t="s">
        <v>60</v>
      </c>
      <c r="F13" s="21">
        <v>6.7799999999999999E-2</v>
      </c>
      <c r="G13" s="20">
        <f t="dataTable" ref="G13:K17" dt2D="1" dtr="1" r1="C11" r2="C12"/>
        <v>535.2075129400032</v>
      </c>
      <c r="H13" s="20">
        <v>578.65385821007828</v>
      </c>
      <c r="I13" s="20">
        <v>633.59394561509396</v>
      </c>
      <c r="J13" s="20">
        <v>705.28405966798039</v>
      </c>
      <c r="K13" s="20">
        <v>802.76198453125767</v>
      </c>
    </row>
    <row r="14" spans="2:15" ht="14.25" customHeight="1" x14ac:dyDescent="0.25">
      <c r="B14" s="17" t="s">
        <v>62</v>
      </c>
      <c r="C14" s="9">
        <f>C13/((1+C12)^K6)</f>
        <v>679109.82662698254</v>
      </c>
      <c r="D14" s="9"/>
      <c r="E14" s="50"/>
      <c r="F14" s="21">
        <v>6.2799999999999995E-2</v>
      </c>
      <c r="G14" s="20">
        <v>588.30797050167143</v>
      </c>
      <c r="H14" s="22">
        <v>644.28925112699824</v>
      </c>
      <c r="I14" s="22">
        <v>717.3379953576075</v>
      </c>
      <c r="J14" s="22">
        <v>816.66326628987497</v>
      </c>
      <c r="K14" s="20">
        <v>959.55225254331231</v>
      </c>
    </row>
    <row r="15" spans="2:15" ht="14.25" customHeight="1" x14ac:dyDescent="0.25">
      <c r="B15" s="17" t="s">
        <v>63</v>
      </c>
      <c r="C15" s="9">
        <f>C14+C10</f>
        <v>876315.17207896966</v>
      </c>
      <c r="E15" s="50"/>
      <c r="F15" s="21">
        <v>5.7799999999999997E-2</v>
      </c>
      <c r="G15" s="20">
        <v>655.22878771889202</v>
      </c>
      <c r="H15" s="22">
        <v>729.66850013866656</v>
      </c>
      <c r="I15" s="23">
        <v>830.88508752958296</v>
      </c>
      <c r="J15" s="22">
        <v>976.4949150042346</v>
      </c>
      <c r="K15" s="20">
        <v>1203.9080163410501</v>
      </c>
    </row>
    <row r="16" spans="2:15" ht="14.25" customHeight="1" x14ac:dyDescent="0.25">
      <c r="B16" s="7" t="s">
        <v>64</v>
      </c>
      <c r="C16" s="9" t="str">
        <f>'BS 22-24'!F19</f>
        <v>522.26</v>
      </c>
      <c r="E16" s="50"/>
      <c r="F16" s="21">
        <v>5.28E-2</v>
      </c>
      <c r="G16" s="20">
        <v>742.28336719565903</v>
      </c>
      <c r="H16" s="22">
        <v>845.43650333062681</v>
      </c>
      <c r="I16" s="22">
        <v>993.83224303356292</v>
      </c>
      <c r="J16" s="22">
        <v>1225.5963758280361</v>
      </c>
      <c r="K16" s="20">
        <v>1638.4262373681911</v>
      </c>
    </row>
    <row r="17" spans="2:11" ht="14.25" customHeight="1" x14ac:dyDescent="0.25">
      <c r="B17" s="7" t="s">
        <v>65</v>
      </c>
      <c r="C17" s="9" t="str">
        <f>WACC!C4</f>
        <v>3,839.28</v>
      </c>
      <c r="E17" s="50"/>
      <c r="F17" s="21">
        <v>4.7800000000000002E-2</v>
      </c>
      <c r="G17" s="20">
        <v>860.32687055764006</v>
      </c>
      <c r="H17" s="20">
        <v>1011.5754699281314</v>
      </c>
      <c r="I17" s="20">
        <v>1247.7951925404718</v>
      </c>
      <c r="J17" s="20">
        <v>1668.5615734437033</v>
      </c>
      <c r="K17" s="20">
        <v>2628.7720324279999</v>
      </c>
    </row>
    <row r="18" spans="2:11" ht="14.25" customHeight="1" x14ac:dyDescent="0.25">
      <c r="B18" s="7" t="s">
        <v>66</v>
      </c>
      <c r="C18" s="9">
        <v>0</v>
      </c>
    </row>
    <row r="19" spans="2:11" ht="14.25" customHeight="1" x14ac:dyDescent="0.25">
      <c r="B19" s="24" t="s">
        <v>67</v>
      </c>
      <c r="C19" s="25">
        <f>C15+C16-C17-C18</f>
        <v>872998.15207896964</v>
      </c>
    </row>
    <row r="20" spans="2:11" ht="14.25" customHeight="1" x14ac:dyDescent="0.25">
      <c r="B20" s="17" t="s">
        <v>68</v>
      </c>
      <c r="C20" s="26">
        <v>1051.8</v>
      </c>
    </row>
    <row r="21" spans="2:11" ht="14.25" customHeight="1" x14ac:dyDescent="0.25">
      <c r="B21" s="8" t="s">
        <v>69</v>
      </c>
      <c r="C21" s="27">
        <f>C19/C20</f>
        <v>830.00394759362018</v>
      </c>
    </row>
    <row r="22" spans="2:11" ht="14.25" customHeight="1" x14ac:dyDescent="0.25"/>
    <row r="23" spans="2:11" ht="14.25" customHeight="1" x14ac:dyDescent="0.25"/>
    <row r="24" spans="2:11" ht="14.25" customHeight="1" x14ac:dyDescent="0.25"/>
    <row r="25" spans="2:11" ht="14.25" customHeight="1" x14ac:dyDescent="0.25"/>
    <row r="26" spans="2:11" ht="14.25" customHeight="1" x14ac:dyDescent="0.25"/>
    <row r="27" spans="2:11" ht="14.25" customHeight="1" x14ac:dyDescent="0.25"/>
    <row r="28" spans="2:11" ht="14.25" customHeight="1" x14ac:dyDescent="0.25"/>
    <row r="29" spans="2:11" ht="14.25" customHeight="1" x14ac:dyDescent="0.25"/>
    <row r="30" spans="2:11" ht="14.25" customHeight="1" x14ac:dyDescent="0.25"/>
    <row r="31" spans="2:11" ht="14.25" customHeight="1" x14ac:dyDescent="0.25"/>
    <row r="32" spans="2:1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9:C9"/>
    <mergeCell ref="E9:K9"/>
    <mergeCell ref="G11:K11"/>
    <mergeCell ref="E13:E17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38D1-D1EE-4C61-B51B-B06E46DE8EA9}">
  <dimension ref="B1:C1000"/>
  <sheetViews>
    <sheetView workbookViewId="0">
      <selection activeCell="C19" sqref="C19"/>
    </sheetView>
  </sheetViews>
  <sheetFormatPr defaultColWidth="14.42578125" defaultRowHeight="15" x14ac:dyDescent="0.25"/>
  <cols>
    <col min="1" max="1" width="8.85546875" customWidth="1"/>
    <col min="2" max="2" width="37.140625" customWidth="1"/>
    <col min="3" max="26" width="8.85546875" customWidth="1"/>
  </cols>
  <sheetData>
    <row r="1" spans="2:3" ht="14.25" customHeight="1" x14ac:dyDescent="0.25"/>
    <row r="2" spans="2:3" ht="14.25" customHeight="1" x14ac:dyDescent="0.25">
      <c r="B2" s="49" t="s">
        <v>70</v>
      </c>
      <c r="C2" s="50"/>
    </row>
    <row r="3" spans="2:3" ht="14.25" customHeight="1" x14ac:dyDescent="0.25">
      <c r="B3" s="17" t="s">
        <v>71</v>
      </c>
      <c r="C3" s="28" t="str">
        <f>'BS 22-24'!F30</f>
        <v>7,225.53</v>
      </c>
    </row>
    <row r="4" spans="2:3" ht="14.25" customHeight="1" x14ac:dyDescent="0.25">
      <c r="B4" s="17" t="s">
        <v>72</v>
      </c>
      <c r="C4" s="9" t="str">
        <f>'BS 22-24'!F40</f>
        <v>3,839.28</v>
      </c>
    </row>
    <row r="5" spans="2:3" ht="14.25" customHeight="1" x14ac:dyDescent="0.25">
      <c r="B5" s="17"/>
      <c r="C5" s="17"/>
    </row>
    <row r="6" spans="2:3" ht="14.25" customHeight="1" x14ac:dyDescent="0.25">
      <c r="B6" s="17" t="s">
        <v>73</v>
      </c>
      <c r="C6" s="19">
        <f>'Inc_St 22-24'!E11/WACC!$C$4</f>
        <v>6.2722698005876099E-2</v>
      </c>
    </row>
    <row r="7" spans="2:3" ht="14.25" customHeight="1" x14ac:dyDescent="0.25">
      <c r="B7" s="17" t="s">
        <v>74</v>
      </c>
      <c r="C7" s="29">
        <v>0.26</v>
      </c>
    </row>
    <row r="8" spans="2:3" ht="14.25" customHeight="1" x14ac:dyDescent="0.25">
      <c r="B8" s="17" t="s">
        <v>75</v>
      </c>
      <c r="C8" s="19">
        <f>C4/(C4+C3)</f>
        <v>0.34698110496248924</v>
      </c>
    </row>
    <row r="9" spans="2:3" ht="14.25" customHeight="1" x14ac:dyDescent="0.25">
      <c r="B9" s="10" t="s">
        <v>76</v>
      </c>
      <c r="C9" s="30">
        <f>C6*(1-C7)</f>
        <v>4.6414796524348309E-2</v>
      </c>
    </row>
    <row r="10" spans="2:3" ht="14.25" customHeight="1" x14ac:dyDescent="0.25">
      <c r="B10" s="6"/>
      <c r="C10" s="31"/>
    </row>
    <row r="11" spans="2:3" ht="14.25" customHeight="1" x14ac:dyDescent="0.25">
      <c r="B11" s="17" t="s">
        <v>77</v>
      </c>
      <c r="C11" s="29">
        <v>3.1E-2</v>
      </c>
    </row>
    <row r="12" spans="2:3" ht="14.25" customHeight="1" x14ac:dyDescent="0.25">
      <c r="B12" s="17" t="s">
        <v>78</v>
      </c>
      <c r="C12" s="29">
        <v>7.8E-2</v>
      </c>
    </row>
    <row r="13" spans="2:3" ht="14.25" customHeight="1" x14ac:dyDescent="0.25">
      <c r="B13" s="17" t="s">
        <v>79</v>
      </c>
      <c r="C13" s="19">
        <f>C12-C11</f>
        <v>4.7E-2</v>
      </c>
    </row>
    <row r="14" spans="2:3" ht="14.25" customHeight="1" x14ac:dyDescent="0.25">
      <c r="B14" s="17" t="s">
        <v>80</v>
      </c>
      <c r="C14" s="32">
        <v>0.7</v>
      </c>
    </row>
    <row r="15" spans="2:3" ht="14.25" customHeight="1" x14ac:dyDescent="0.25">
      <c r="B15" s="17" t="s">
        <v>81</v>
      </c>
      <c r="C15" s="19">
        <f>C3/(C3+C4)</f>
        <v>0.65301889503751087</v>
      </c>
    </row>
    <row r="16" spans="2:3" ht="14.25" customHeight="1" x14ac:dyDescent="0.25">
      <c r="B16" s="10" t="s">
        <v>82</v>
      </c>
      <c r="C16" s="30">
        <f>C11+C14*C13</f>
        <v>6.3899999999999998E-2</v>
      </c>
    </row>
    <row r="17" spans="2:3" ht="14.25" customHeight="1" x14ac:dyDescent="0.25">
      <c r="B17" s="17"/>
      <c r="C17" s="17"/>
    </row>
    <row r="18" spans="2:3" ht="14.25" customHeight="1" x14ac:dyDescent="0.25">
      <c r="B18" s="8" t="s">
        <v>60</v>
      </c>
      <c r="C18" s="33">
        <f>C16*C15+C9*C8</f>
        <v>5.7832964777524427E-2</v>
      </c>
    </row>
    <row r="19" spans="2:3" ht="14.25" customHeight="1" x14ac:dyDescent="0.25"/>
    <row r="20" spans="2:3" ht="14.25" customHeight="1" x14ac:dyDescent="0.25"/>
    <row r="21" spans="2:3" ht="14.25" customHeight="1" x14ac:dyDescent="0.25"/>
    <row r="22" spans="2:3" ht="14.25" customHeight="1" x14ac:dyDescent="0.25"/>
    <row r="23" spans="2:3" ht="14.25" customHeight="1" x14ac:dyDescent="0.25"/>
    <row r="24" spans="2:3" ht="14.25" customHeight="1" x14ac:dyDescent="0.25"/>
    <row r="25" spans="2:3" ht="14.25" customHeight="1" x14ac:dyDescent="0.25"/>
    <row r="26" spans="2:3" ht="14.25" customHeight="1" x14ac:dyDescent="0.25"/>
    <row r="27" spans="2:3" ht="14.25" customHeight="1" x14ac:dyDescent="0.25"/>
    <row r="28" spans="2:3" ht="14.25" customHeight="1" x14ac:dyDescent="0.25"/>
    <row r="29" spans="2:3" ht="14.25" customHeight="1" x14ac:dyDescent="0.25"/>
    <row r="30" spans="2:3" ht="14.25" customHeight="1" x14ac:dyDescent="0.25"/>
    <row r="31" spans="2:3" ht="14.25" customHeight="1" x14ac:dyDescent="0.25"/>
    <row r="32" spans="2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B2:C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DBDE-030C-49D8-ADCD-996069FF6D33}">
  <dimension ref="A1:H52"/>
  <sheetViews>
    <sheetView topLeftCell="A26" zoomScaleNormal="100" workbookViewId="0">
      <selection activeCell="E46" sqref="E46"/>
    </sheetView>
  </sheetViews>
  <sheetFormatPr defaultRowHeight="15" x14ac:dyDescent="0.25"/>
  <cols>
    <col min="1" max="2" width="11.140625" bestFit="1" customWidth="1"/>
    <col min="3" max="3" width="61" bestFit="1" customWidth="1"/>
    <col min="4" max="4" width="28.140625" bestFit="1" customWidth="1"/>
    <col min="5" max="5" width="11.140625" bestFit="1" customWidth="1"/>
    <col min="6" max="7" width="14" bestFit="1" customWidth="1"/>
    <col min="8" max="8" width="14.42578125" style="34" bestFit="1" customWidth="1"/>
  </cols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spans="1:8" x14ac:dyDescent="0.25">
      <c r="A2" s="34" t="s">
        <v>90</v>
      </c>
      <c r="B2" s="34"/>
      <c r="C2" s="34" t="s">
        <v>91</v>
      </c>
      <c r="D2" s="34"/>
      <c r="E2" s="34" t="s">
        <v>92</v>
      </c>
      <c r="F2" s="34" t="s">
        <v>93</v>
      </c>
      <c r="G2" s="35" t="s">
        <v>94</v>
      </c>
      <c r="H2" s="34" t="s">
        <v>316</v>
      </c>
    </row>
    <row r="3" spans="1:8" x14ac:dyDescent="0.25">
      <c r="A3" s="34" t="s">
        <v>95</v>
      </c>
      <c r="B3" s="34"/>
      <c r="C3" s="34" t="s">
        <v>96</v>
      </c>
      <c r="D3" s="34"/>
      <c r="E3" s="34"/>
      <c r="F3" s="46"/>
      <c r="G3" s="47"/>
      <c r="H3" s="46"/>
    </row>
    <row r="4" spans="1:8" x14ac:dyDescent="0.25">
      <c r="A4" s="34" t="s">
        <v>97</v>
      </c>
      <c r="B4" s="34"/>
      <c r="C4" s="34" t="s">
        <v>98</v>
      </c>
      <c r="D4" s="34"/>
      <c r="E4" s="34"/>
      <c r="F4" s="46"/>
      <c r="G4" s="47"/>
      <c r="H4" s="46"/>
    </row>
    <row r="5" spans="1:8" x14ac:dyDescent="0.25">
      <c r="A5" s="34"/>
      <c r="B5" s="34" t="s">
        <v>99</v>
      </c>
      <c r="C5" s="34" t="s">
        <v>100</v>
      </c>
      <c r="D5" s="34"/>
      <c r="E5" s="34" t="s">
        <v>101</v>
      </c>
      <c r="F5" s="46" t="s">
        <v>102</v>
      </c>
      <c r="G5" s="47" t="s">
        <v>103</v>
      </c>
      <c r="H5" s="46" t="s">
        <v>317</v>
      </c>
    </row>
    <row r="6" spans="1:8" x14ac:dyDescent="0.25">
      <c r="A6" s="34"/>
      <c r="B6" s="34" t="s">
        <v>104</v>
      </c>
      <c r="C6" s="34" t="s">
        <v>3</v>
      </c>
      <c r="D6" s="34"/>
      <c r="E6" s="34" t="s">
        <v>105</v>
      </c>
      <c r="F6" s="46" t="s">
        <v>106</v>
      </c>
      <c r="G6" s="47" t="s">
        <v>107</v>
      </c>
      <c r="H6" s="46" t="s">
        <v>318</v>
      </c>
    </row>
    <row r="7" spans="1:8" x14ac:dyDescent="0.25">
      <c r="A7" s="34"/>
      <c r="B7" s="34" t="s">
        <v>108</v>
      </c>
      <c r="C7" s="34" t="s">
        <v>109</v>
      </c>
      <c r="D7" s="34"/>
      <c r="E7" s="34" t="s">
        <v>110</v>
      </c>
      <c r="F7" s="46" t="s">
        <v>111</v>
      </c>
      <c r="G7" s="47" t="s">
        <v>112</v>
      </c>
      <c r="H7" s="46" t="s">
        <v>319</v>
      </c>
    </row>
    <row r="8" spans="1:8" x14ac:dyDescent="0.25">
      <c r="A8" s="34"/>
      <c r="B8" s="34" t="s">
        <v>113</v>
      </c>
      <c r="C8" s="34" t="s">
        <v>114</v>
      </c>
      <c r="D8" s="34"/>
      <c r="E8" s="34" t="s">
        <v>115</v>
      </c>
      <c r="F8" s="46" t="s">
        <v>116</v>
      </c>
      <c r="G8" s="47" t="s">
        <v>117</v>
      </c>
      <c r="H8" s="46" t="s">
        <v>320</v>
      </c>
    </row>
    <row r="9" spans="1:8" x14ac:dyDescent="0.25">
      <c r="A9" s="34"/>
      <c r="B9" s="34" t="s">
        <v>118</v>
      </c>
      <c r="C9" s="34" t="s">
        <v>119</v>
      </c>
      <c r="D9" s="34"/>
      <c r="E9" s="34"/>
      <c r="F9" s="46"/>
      <c r="G9" s="47"/>
      <c r="H9" s="46"/>
    </row>
    <row r="10" spans="1:8" x14ac:dyDescent="0.25">
      <c r="A10" s="34"/>
      <c r="B10" s="34"/>
      <c r="C10" s="34" t="s">
        <v>120</v>
      </c>
      <c r="D10" s="34"/>
      <c r="E10" s="34" t="s">
        <v>121</v>
      </c>
      <c r="F10" s="46" t="s">
        <v>122</v>
      </c>
      <c r="G10" s="47" t="s">
        <v>123</v>
      </c>
      <c r="H10" s="46" t="s">
        <v>321</v>
      </c>
    </row>
    <row r="11" spans="1:8" x14ac:dyDescent="0.25">
      <c r="A11" s="34"/>
      <c r="B11" s="34"/>
      <c r="C11" s="34" t="s">
        <v>124</v>
      </c>
      <c r="D11" s="34"/>
      <c r="E11" s="34" t="s">
        <v>125</v>
      </c>
      <c r="F11" s="46" t="s">
        <v>126</v>
      </c>
      <c r="G11" s="47" t="s">
        <v>127</v>
      </c>
      <c r="H11" s="46" t="s">
        <v>322</v>
      </c>
    </row>
    <row r="12" spans="1:8" x14ac:dyDescent="0.25">
      <c r="A12" s="34"/>
      <c r="B12" s="34" t="s">
        <v>128</v>
      </c>
      <c r="C12" s="34" t="s">
        <v>129</v>
      </c>
      <c r="D12" s="34"/>
      <c r="E12" s="34" t="s">
        <v>130</v>
      </c>
      <c r="F12" s="46" t="s">
        <v>131</v>
      </c>
      <c r="G12" s="47" t="s">
        <v>132</v>
      </c>
      <c r="H12" s="46" t="s">
        <v>323</v>
      </c>
    </row>
    <row r="13" spans="1:8" x14ac:dyDescent="0.25">
      <c r="A13" s="34"/>
      <c r="B13" s="34"/>
      <c r="C13" s="34"/>
      <c r="D13" s="34"/>
      <c r="E13" s="34"/>
      <c r="F13" s="46" t="s">
        <v>133</v>
      </c>
      <c r="G13" s="47" t="s">
        <v>134</v>
      </c>
      <c r="H13" s="46" t="s">
        <v>324</v>
      </c>
    </row>
    <row r="14" spans="1:8" x14ac:dyDescent="0.25">
      <c r="A14" s="34" t="s">
        <v>135</v>
      </c>
      <c r="B14" s="34"/>
      <c r="C14" s="34" t="s">
        <v>136</v>
      </c>
      <c r="D14" s="34"/>
      <c r="E14" s="34"/>
      <c r="F14" s="46"/>
      <c r="G14" s="47"/>
      <c r="H14" s="46"/>
    </row>
    <row r="15" spans="1:8" x14ac:dyDescent="0.25">
      <c r="A15" s="34"/>
      <c r="B15" s="34" t="s">
        <v>99</v>
      </c>
      <c r="C15" s="34" t="s">
        <v>137</v>
      </c>
      <c r="D15" s="34"/>
      <c r="E15" s="34" t="s">
        <v>138</v>
      </c>
      <c r="F15" s="46" t="s">
        <v>139</v>
      </c>
      <c r="G15" s="47" t="s">
        <v>140</v>
      </c>
      <c r="H15" s="46" t="s">
        <v>325</v>
      </c>
    </row>
    <row r="16" spans="1:8" x14ac:dyDescent="0.25">
      <c r="A16" s="34"/>
      <c r="B16" s="34" t="s">
        <v>104</v>
      </c>
      <c r="C16" s="34" t="s">
        <v>141</v>
      </c>
      <c r="D16" s="34"/>
      <c r="E16" s="34"/>
      <c r="F16" s="46"/>
      <c r="G16" s="47"/>
      <c r="H16" s="46"/>
    </row>
    <row r="17" spans="1:8" x14ac:dyDescent="0.25">
      <c r="A17" s="34"/>
      <c r="B17" s="34"/>
      <c r="C17" s="34" t="s">
        <v>120</v>
      </c>
      <c r="D17" s="34"/>
      <c r="E17" s="34" t="s">
        <v>121</v>
      </c>
      <c r="F17" s="46" t="s">
        <v>142</v>
      </c>
      <c r="G17" s="47" t="s">
        <v>143</v>
      </c>
      <c r="H17" s="46" t="s">
        <v>107</v>
      </c>
    </row>
    <row r="18" spans="1:8" x14ac:dyDescent="0.25">
      <c r="A18" s="34"/>
      <c r="B18" s="34"/>
      <c r="C18" s="34" t="s">
        <v>144</v>
      </c>
      <c r="D18" s="34"/>
      <c r="E18" s="34" t="s">
        <v>145</v>
      </c>
      <c r="F18" s="46" t="s">
        <v>146</v>
      </c>
      <c r="G18" s="47" t="s">
        <v>147</v>
      </c>
      <c r="H18" s="46" t="s">
        <v>326</v>
      </c>
    </row>
    <row r="19" spans="1:8" x14ac:dyDescent="0.25">
      <c r="A19" s="34"/>
      <c r="B19" s="34"/>
      <c r="C19" s="34" t="s">
        <v>148</v>
      </c>
      <c r="D19" s="34"/>
      <c r="E19" s="34" t="s">
        <v>149</v>
      </c>
      <c r="F19" s="46" t="s">
        <v>150</v>
      </c>
      <c r="G19" s="47" t="s">
        <v>151</v>
      </c>
      <c r="H19" s="46" t="s">
        <v>327</v>
      </c>
    </row>
    <row r="20" spans="1:8" x14ac:dyDescent="0.25">
      <c r="A20" s="34"/>
      <c r="B20" s="34"/>
      <c r="C20" s="34" t="s">
        <v>152</v>
      </c>
      <c r="D20" s="34"/>
      <c r="E20" s="34" t="s">
        <v>153</v>
      </c>
      <c r="F20" s="46" t="s">
        <v>154</v>
      </c>
      <c r="G20" s="47" t="s">
        <v>155</v>
      </c>
      <c r="H20" s="46" t="s">
        <v>328</v>
      </c>
    </row>
    <row r="21" spans="1:8" x14ac:dyDescent="0.25">
      <c r="A21" s="34"/>
      <c r="B21" s="34"/>
      <c r="C21" s="34" t="s">
        <v>156</v>
      </c>
      <c r="D21" s="34"/>
      <c r="E21" s="34" t="s">
        <v>125</v>
      </c>
      <c r="F21" s="46" t="s">
        <v>157</v>
      </c>
      <c r="G21" s="47" t="s">
        <v>158</v>
      </c>
      <c r="H21" s="46" t="s">
        <v>329</v>
      </c>
    </row>
    <row r="22" spans="1:8" x14ac:dyDescent="0.25">
      <c r="A22" s="34"/>
      <c r="B22" s="34" t="s">
        <v>108</v>
      </c>
      <c r="C22" s="34" t="s">
        <v>36</v>
      </c>
      <c r="D22" s="34"/>
      <c r="E22" s="34" t="s">
        <v>159</v>
      </c>
      <c r="F22" s="46" t="s">
        <v>160</v>
      </c>
      <c r="G22" s="47" t="s">
        <v>161</v>
      </c>
      <c r="H22" s="46" t="s">
        <v>330</v>
      </c>
    </row>
    <row r="23" spans="1:8" x14ac:dyDescent="0.25">
      <c r="A23" s="34"/>
      <c r="B23" s="34" t="s">
        <v>113</v>
      </c>
      <c r="C23" s="34" t="s">
        <v>162</v>
      </c>
      <c r="D23" s="34"/>
      <c r="E23" s="34" t="s">
        <v>163</v>
      </c>
      <c r="F23" s="46" t="s">
        <v>164</v>
      </c>
      <c r="G23" s="47" t="s">
        <v>107</v>
      </c>
      <c r="H23" s="46"/>
    </row>
    <row r="24" spans="1:8" x14ac:dyDescent="0.25">
      <c r="A24" s="34"/>
      <c r="B24" s="34"/>
      <c r="C24" s="34"/>
      <c r="D24" s="34"/>
      <c r="E24" s="34"/>
      <c r="F24" s="46" t="s">
        <v>165</v>
      </c>
      <c r="G24" s="47" t="s">
        <v>166</v>
      </c>
      <c r="H24" s="46" t="s">
        <v>331</v>
      </c>
    </row>
    <row r="25" spans="1:8" x14ac:dyDescent="0.25">
      <c r="A25" s="34"/>
      <c r="B25" s="34"/>
      <c r="C25" s="34"/>
      <c r="D25" s="34" t="s">
        <v>167</v>
      </c>
      <c r="E25" s="34"/>
      <c r="F25" s="46" t="s">
        <v>168</v>
      </c>
      <c r="G25" s="47" t="s">
        <v>169</v>
      </c>
      <c r="H25" s="46" t="s">
        <v>332</v>
      </c>
    </row>
    <row r="26" spans="1:8" x14ac:dyDescent="0.25">
      <c r="A26" s="34" t="s">
        <v>170</v>
      </c>
      <c r="B26" s="34"/>
      <c r="C26" s="34" t="s">
        <v>171</v>
      </c>
      <c r="D26" s="34"/>
      <c r="E26" s="34"/>
      <c r="F26" s="46"/>
      <c r="G26" s="47"/>
      <c r="H26" s="46"/>
    </row>
    <row r="27" spans="1:8" x14ac:dyDescent="0.25">
      <c r="A27" s="34" t="s">
        <v>97</v>
      </c>
      <c r="B27" s="34"/>
      <c r="C27" s="34" t="s">
        <v>172</v>
      </c>
      <c r="D27" s="34"/>
      <c r="E27" s="34"/>
      <c r="F27" s="46"/>
      <c r="G27" s="47"/>
      <c r="H27" s="46"/>
    </row>
    <row r="28" spans="1:8" x14ac:dyDescent="0.25">
      <c r="A28" s="34"/>
      <c r="B28" s="34" t="s">
        <v>99</v>
      </c>
      <c r="C28" s="34" t="s">
        <v>2</v>
      </c>
      <c r="D28" s="34"/>
      <c r="E28" s="34" t="s">
        <v>173</v>
      </c>
      <c r="F28" s="46" t="s">
        <v>174</v>
      </c>
      <c r="G28" s="47" t="s">
        <v>174</v>
      </c>
      <c r="H28" s="46" t="s">
        <v>174</v>
      </c>
    </row>
    <row r="29" spans="1:8" x14ac:dyDescent="0.25">
      <c r="A29" s="34"/>
      <c r="B29" s="34" t="s">
        <v>104</v>
      </c>
      <c r="C29" s="34" t="s">
        <v>175</v>
      </c>
      <c r="D29" s="34"/>
      <c r="E29" s="34" t="s">
        <v>176</v>
      </c>
      <c r="F29" s="46" t="s">
        <v>177</v>
      </c>
      <c r="G29" s="47" t="s">
        <v>178</v>
      </c>
      <c r="H29" s="46" t="s">
        <v>333</v>
      </c>
    </row>
    <row r="30" spans="1:8" x14ac:dyDescent="0.25">
      <c r="A30" s="34"/>
      <c r="B30" s="34"/>
      <c r="C30" s="34"/>
      <c r="D30" s="34"/>
      <c r="E30" s="34"/>
      <c r="F30" s="46" t="s">
        <v>179</v>
      </c>
      <c r="G30" s="47" t="s">
        <v>180</v>
      </c>
      <c r="H30" s="46" t="s">
        <v>334</v>
      </c>
    </row>
    <row r="31" spans="1:8" x14ac:dyDescent="0.25">
      <c r="A31" s="34" t="s">
        <v>135</v>
      </c>
      <c r="B31" s="34"/>
      <c r="C31" s="34" t="s">
        <v>181</v>
      </c>
      <c r="D31" s="34"/>
      <c r="E31" s="34"/>
      <c r="F31" s="46"/>
      <c r="G31" s="47"/>
      <c r="H31" s="46"/>
    </row>
    <row r="32" spans="1:8" x14ac:dyDescent="0.25">
      <c r="A32" s="34"/>
      <c r="B32" s="34"/>
      <c r="C32" s="34" t="s">
        <v>182</v>
      </c>
      <c r="D32" s="34"/>
      <c r="E32" s="34"/>
      <c r="F32" s="46"/>
      <c r="G32" s="47"/>
      <c r="H32" s="46"/>
    </row>
    <row r="33" spans="1:8" x14ac:dyDescent="0.25">
      <c r="A33" s="34"/>
      <c r="B33" s="34" t="s">
        <v>99</v>
      </c>
      <c r="C33" s="34" t="s">
        <v>183</v>
      </c>
      <c r="D33" s="34"/>
      <c r="E33" s="34"/>
      <c r="F33" s="46"/>
      <c r="G33" s="47"/>
      <c r="H33" s="46"/>
    </row>
    <row r="34" spans="1:8" x14ac:dyDescent="0.25">
      <c r="A34" s="34"/>
      <c r="B34" s="34"/>
      <c r="C34" s="34" t="s">
        <v>184</v>
      </c>
      <c r="D34" s="34"/>
      <c r="E34" s="34" t="s">
        <v>115</v>
      </c>
      <c r="F34" s="46" t="s">
        <v>185</v>
      </c>
      <c r="G34" s="47" t="s">
        <v>186</v>
      </c>
      <c r="H34" s="46" t="s">
        <v>335</v>
      </c>
    </row>
    <row r="35" spans="1:8" x14ac:dyDescent="0.25">
      <c r="A35" s="34"/>
      <c r="B35" s="34"/>
      <c r="C35" s="34" t="s">
        <v>187</v>
      </c>
      <c r="D35" s="34"/>
      <c r="E35" s="34" t="s">
        <v>188</v>
      </c>
      <c r="F35" s="46" t="s">
        <v>189</v>
      </c>
      <c r="G35" s="47" t="s">
        <v>190</v>
      </c>
      <c r="H35" s="46" t="s">
        <v>336</v>
      </c>
    </row>
    <row r="36" spans="1:8" x14ac:dyDescent="0.25">
      <c r="A36" s="34"/>
      <c r="B36" s="34" t="s">
        <v>104</v>
      </c>
      <c r="C36" s="34" t="s">
        <v>191</v>
      </c>
      <c r="D36" s="34"/>
      <c r="E36" s="34" t="s">
        <v>192</v>
      </c>
      <c r="F36" s="46" t="s">
        <v>193</v>
      </c>
      <c r="G36" s="47" t="s">
        <v>194</v>
      </c>
      <c r="H36" s="46" t="s">
        <v>337</v>
      </c>
    </row>
    <row r="37" spans="1:8" x14ac:dyDescent="0.25">
      <c r="A37" s="34"/>
      <c r="B37" s="34"/>
      <c r="C37" s="34"/>
      <c r="D37" s="34"/>
      <c r="E37" s="34"/>
      <c r="F37" s="46" t="s">
        <v>195</v>
      </c>
      <c r="G37" s="47" t="s">
        <v>196</v>
      </c>
      <c r="H37" s="46" t="s">
        <v>338</v>
      </c>
    </row>
    <row r="38" spans="1:8" x14ac:dyDescent="0.25">
      <c r="A38" s="34"/>
      <c r="B38" s="34"/>
      <c r="C38" s="34" t="s">
        <v>197</v>
      </c>
      <c r="D38" s="34"/>
      <c r="E38" s="34"/>
      <c r="F38" s="46"/>
      <c r="G38" s="47"/>
      <c r="H38" s="46"/>
    </row>
    <row r="39" spans="1:8" x14ac:dyDescent="0.25">
      <c r="A39" s="34"/>
      <c r="B39" s="34" t="s">
        <v>99</v>
      </c>
      <c r="C39" s="34" t="s">
        <v>183</v>
      </c>
      <c r="D39" s="34"/>
      <c r="E39" s="34"/>
      <c r="F39" s="46"/>
      <c r="G39" s="47"/>
      <c r="H39" s="46"/>
    </row>
    <row r="40" spans="1:8" x14ac:dyDescent="0.25">
      <c r="A40" s="34"/>
      <c r="B40" s="34"/>
      <c r="C40" s="34" t="s">
        <v>198</v>
      </c>
      <c r="D40" s="34"/>
      <c r="E40" s="34" t="s">
        <v>188</v>
      </c>
      <c r="F40" s="46" t="s">
        <v>199</v>
      </c>
      <c r="G40" s="47" t="s">
        <v>200</v>
      </c>
      <c r="H40" s="46" t="s">
        <v>339</v>
      </c>
    </row>
    <row r="41" spans="1:8" x14ac:dyDescent="0.25">
      <c r="A41" s="34"/>
      <c r="B41" s="34"/>
      <c r="C41" s="34" t="s">
        <v>201</v>
      </c>
      <c r="D41" s="34"/>
      <c r="E41" s="34" t="s">
        <v>115</v>
      </c>
      <c r="F41" s="46" t="s">
        <v>202</v>
      </c>
      <c r="G41" s="47" t="s">
        <v>203</v>
      </c>
      <c r="H41" s="46" t="s">
        <v>340</v>
      </c>
    </row>
    <row r="42" spans="1:8" x14ac:dyDescent="0.25">
      <c r="A42" s="34"/>
      <c r="B42" s="34"/>
      <c r="C42" s="34" t="s">
        <v>204</v>
      </c>
      <c r="D42" s="34"/>
      <c r="E42" s="34"/>
      <c r="F42" s="46"/>
      <c r="G42" s="47"/>
      <c r="H42" s="46"/>
    </row>
    <row r="43" spans="1:8" x14ac:dyDescent="0.25">
      <c r="A43" s="34"/>
      <c r="B43" s="34"/>
      <c r="C43" s="34" t="s">
        <v>205</v>
      </c>
      <c r="D43" s="34"/>
      <c r="E43" s="34"/>
      <c r="F43" s="46"/>
      <c r="G43" s="47"/>
      <c r="H43" s="46"/>
    </row>
    <row r="44" spans="1:8" x14ac:dyDescent="0.25">
      <c r="A44" s="34"/>
      <c r="B44" s="34"/>
      <c r="C44" s="34" t="s">
        <v>206</v>
      </c>
      <c r="D44" s="34"/>
      <c r="E44" s="34" t="s">
        <v>207</v>
      </c>
      <c r="F44" s="46" t="s">
        <v>208</v>
      </c>
      <c r="G44" s="47" t="s">
        <v>209</v>
      </c>
      <c r="H44" s="46" t="s">
        <v>341</v>
      </c>
    </row>
    <row r="45" spans="1:8" x14ac:dyDescent="0.25">
      <c r="A45" s="34"/>
      <c r="B45" s="34"/>
      <c r="C45" s="34" t="s">
        <v>210</v>
      </c>
      <c r="D45" s="34"/>
      <c r="E45" s="34" t="s">
        <v>207</v>
      </c>
      <c r="F45" s="46" t="s">
        <v>211</v>
      </c>
      <c r="G45" s="47" t="s">
        <v>212</v>
      </c>
      <c r="H45" s="46" t="s">
        <v>342</v>
      </c>
    </row>
    <row r="46" spans="1:8" x14ac:dyDescent="0.25">
      <c r="A46" s="34"/>
      <c r="B46" s="34"/>
      <c r="C46" s="34" t="s">
        <v>213</v>
      </c>
      <c r="D46" s="34"/>
      <c r="E46" s="34" t="s">
        <v>214</v>
      </c>
      <c r="F46" s="46" t="s">
        <v>215</v>
      </c>
      <c r="G46" s="47" t="s">
        <v>216</v>
      </c>
      <c r="H46" s="46" t="s">
        <v>343</v>
      </c>
    </row>
    <row r="47" spans="1:8" x14ac:dyDescent="0.25">
      <c r="A47" s="34"/>
      <c r="B47" s="34" t="s">
        <v>104</v>
      </c>
      <c r="C47" s="34" t="s">
        <v>217</v>
      </c>
      <c r="D47" s="34"/>
      <c r="E47" s="34" t="s">
        <v>218</v>
      </c>
      <c r="F47" s="46" t="s">
        <v>219</v>
      </c>
      <c r="G47" s="47" t="s">
        <v>220</v>
      </c>
      <c r="H47" s="46" t="s">
        <v>344</v>
      </c>
    </row>
    <row r="48" spans="1:8" x14ac:dyDescent="0.25">
      <c r="A48" s="34"/>
      <c r="B48" s="34" t="s">
        <v>108</v>
      </c>
      <c r="C48" s="34" t="s">
        <v>191</v>
      </c>
      <c r="D48" s="34"/>
      <c r="E48" s="34" t="s">
        <v>221</v>
      </c>
      <c r="F48" s="46" t="s">
        <v>222</v>
      </c>
      <c r="G48" s="47" t="s">
        <v>223</v>
      </c>
      <c r="H48" s="46" t="s">
        <v>345</v>
      </c>
    </row>
    <row r="49" spans="1:8" x14ac:dyDescent="0.25">
      <c r="A49" s="34"/>
      <c r="B49" s="34" t="s">
        <v>113</v>
      </c>
      <c r="C49" s="34" t="s">
        <v>224</v>
      </c>
      <c r="D49" s="34"/>
      <c r="E49" s="34" t="s">
        <v>163</v>
      </c>
      <c r="F49" s="46" t="s">
        <v>107</v>
      </c>
      <c r="G49" s="47" t="s">
        <v>225</v>
      </c>
      <c r="H49" s="46" t="s">
        <v>346</v>
      </c>
    </row>
    <row r="50" spans="1:8" x14ac:dyDescent="0.25">
      <c r="A50" s="34"/>
      <c r="B50" s="34"/>
      <c r="C50" s="34"/>
      <c r="D50" s="34"/>
      <c r="E50" s="34"/>
      <c r="F50" s="46" t="s">
        <v>226</v>
      </c>
      <c r="G50" s="47" t="s">
        <v>227</v>
      </c>
      <c r="H50" s="46" t="s">
        <v>347</v>
      </c>
    </row>
    <row r="51" spans="1:8" x14ac:dyDescent="0.25">
      <c r="A51" s="34"/>
      <c r="B51" s="34"/>
      <c r="C51" s="34"/>
      <c r="D51" s="34" t="s">
        <v>228</v>
      </c>
      <c r="E51" s="34"/>
      <c r="F51" s="46" t="s">
        <v>168</v>
      </c>
      <c r="G51" s="47" t="s">
        <v>169</v>
      </c>
      <c r="H51" s="46" t="s">
        <v>348</v>
      </c>
    </row>
    <row r="52" spans="1:8" x14ac:dyDescent="0.25">
      <c r="F52" s="48"/>
      <c r="G52" s="48"/>
      <c r="H52" s="46" t="s">
        <v>332</v>
      </c>
    </row>
  </sheetData>
  <pageMargins left="0.7" right="0.7" top="0.75" bottom="0.75" header="0.3" footer="0.3"/>
  <ignoredErrors>
    <ignoredError sqref="H5:H52" numberStoredAsText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0FB7-04F1-4E13-B393-14CC4B44529C}">
  <dimension ref="A1:G29"/>
  <sheetViews>
    <sheetView topLeftCell="B1" workbookViewId="0">
      <selection activeCell="H17" sqref="H17:J17"/>
    </sheetView>
  </sheetViews>
  <sheetFormatPr defaultRowHeight="15" x14ac:dyDescent="0.25"/>
  <cols>
    <col min="1" max="1" width="11.140625" bestFit="1" customWidth="1"/>
    <col min="2" max="2" width="81.140625" bestFit="1" customWidth="1"/>
    <col min="3" max="3" width="16.28515625" bestFit="1" customWidth="1"/>
    <col min="4" max="4" width="11.140625" bestFit="1" customWidth="1"/>
    <col min="5" max="6" width="14" bestFit="1" customWidth="1"/>
    <col min="7" max="7" width="14" style="34" bestFit="1" customWidth="1"/>
  </cols>
  <sheetData>
    <row r="1" spans="1:7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7" x14ac:dyDescent="0.25">
      <c r="A2" s="34" t="s">
        <v>90</v>
      </c>
      <c r="B2" s="34" t="s">
        <v>91</v>
      </c>
      <c r="C2" s="34"/>
      <c r="D2" s="34" t="s">
        <v>92</v>
      </c>
      <c r="E2" s="46" t="s">
        <v>93</v>
      </c>
      <c r="F2" s="47" t="s">
        <v>94</v>
      </c>
      <c r="G2" s="46" t="s">
        <v>316</v>
      </c>
    </row>
    <row r="3" spans="1:7" x14ac:dyDescent="0.25">
      <c r="A3" s="34" t="s">
        <v>95</v>
      </c>
      <c r="B3" s="34" t="s">
        <v>229</v>
      </c>
      <c r="C3" s="34"/>
      <c r="D3" s="34" t="s">
        <v>230</v>
      </c>
      <c r="E3" s="46" t="s">
        <v>231</v>
      </c>
      <c r="F3" s="47" t="s">
        <v>232</v>
      </c>
      <c r="G3" s="46" t="s">
        <v>349</v>
      </c>
    </row>
    <row r="4" spans="1:7" x14ac:dyDescent="0.25">
      <c r="A4" s="34" t="s">
        <v>170</v>
      </c>
      <c r="B4" s="34" t="s">
        <v>1</v>
      </c>
      <c r="C4" s="34"/>
      <c r="D4" s="34" t="s">
        <v>233</v>
      </c>
      <c r="E4" s="46" t="s">
        <v>234</v>
      </c>
      <c r="F4" s="47" t="s">
        <v>235</v>
      </c>
      <c r="G4" s="46" t="s">
        <v>350</v>
      </c>
    </row>
    <row r="5" spans="1:7" x14ac:dyDescent="0.25">
      <c r="A5" s="34" t="s">
        <v>236</v>
      </c>
      <c r="B5" s="34" t="s">
        <v>237</v>
      </c>
      <c r="C5" s="34"/>
      <c r="D5" s="34"/>
      <c r="E5" s="46" t="s">
        <v>238</v>
      </c>
      <c r="F5" s="47" t="s">
        <v>239</v>
      </c>
      <c r="G5" s="46" t="s">
        <v>351</v>
      </c>
    </row>
    <row r="6" spans="1:7" x14ac:dyDescent="0.25">
      <c r="A6" s="34"/>
      <c r="B6" s="34" t="s">
        <v>0</v>
      </c>
      <c r="C6" s="34"/>
      <c r="D6" s="34"/>
      <c r="E6" s="46"/>
      <c r="F6" s="47"/>
      <c r="G6" s="46"/>
    </row>
    <row r="7" spans="1:7" x14ac:dyDescent="0.25">
      <c r="A7" s="34"/>
      <c r="B7" s="34" t="s">
        <v>240</v>
      </c>
      <c r="C7" s="34"/>
      <c r="D7" s="34" t="s">
        <v>241</v>
      </c>
      <c r="E7" s="46" t="s">
        <v>242</v>
      </c>
      <c r="F7" s="47" t="s">
        <v>243</v>
      </c>
      <c r="G7" s="46" t="s">
        <v>352</v>
      </c>
    </row>
    <row r="8" spans="1:7" x14ac:dyDescent="0.25">
      <c r="A8" s="34"/>
      <c r="B8" s="34" t="s">
        <v>244</v>
      </c>
      <c r="C8" s="34"/>
      <c r="D8" s="34" t="s">
        <v>245</v>
      </c>
      <c r="E8" s="46" t="s">
        <v>246</v>
      </c>
      <c r="F8" s="47" t="s">
        <v>247</v>
      </c>
      <c r="G8" s="46" t="s">
        <v>353</v>
      </c>
    </row>
    <row r="9" spans="1:7" x14ac:dyDescent="0.25">
      <c r="A9" s="34"/>
      <c r="B9" s="34" t="s">
        <v>248</v>
      </c>
      <c r="C9" s="34"/>
      <c r="D9" s="34" t="s">
        <v>249</v>
      </c>
      <c r="E9" s="46" t="s">
        <v>250</v>
      </c>
      <c r="F9" s="47" t="s">
        <v>251</v>
      </c>
      <c r="G9" s="46" t="s">
        <v>354</v>
      </c>
    </row>
    <row r="10" spans="1:7" x14ac:dyDescent="0.25">
      <c r="A10" s="34"/>
      <c r="B10" s="34" t="s">
        <v>252</v>
      </c>
      <c r="C10" s="34"/>
      <c r="D10" s="34" t="s">
        <v>253</v>
      </c>
      <c r="E10" s="46" t="s">
        <v>254</v>
      </c>
      <c r="F10" s="47" t="s">
        <v>255</v>
      </c>
      <c r="G10" s="46" t="s">
        <v>355</v>
      </c>
    </row>
    <row r="11" spans="1:7" x14ac:dyDescent="0.25">
      <c r="A11" s="34"/>
      <c r="B11" s="34" t="s">
        <v>256</v>
      </c>
      <c r="C11" s="34"/>
      <c r="D11" s="34" t="s">
        <v>257</v>
      </c>
      <c r="E11" s="46" t="s">
        <v>258</v>
      </c>
      <c r="F11" s="47" t="s">
        <v>259</v>
      </c>
      <c r="G11" s="46" t="s">
        <v>356</v>
      </c>
    </row>
    <row r="12" spans="1:7" x14ac:dyDescent="0.25">
      <c r="A12" s="34"/>
      <c r="B12" s="34" t="s">
        <v>260</v>
      </c>
      <c r="C12" s="34"/>
      <c r="D12" s="34" t="s">
        <v>261</v>
      </c>
      <c r="E12" s="46" t="s">
        <v>262</v>
      </c>
      <c r="F12" s="47" t="s">
        <v>263</v>
      </c>
      <c r="G12" s="46" t="s">
        <v>357</v>
      </c>
    </row>
    <row r="13" spans="1:7" x14ac:dyDescent="0.25">
      <c r="A13" s="34"/>
      <c r="B13" s="34" t="s">
        <v>4</v>
      </c>
      <c r="C13" s="34"/>
      <c r="D13" s="34" t="s">
        <v>264</v>
      </c>
      <c r="E13" s="46" t="s">
        <v>265</v>
      </c>
      <c r="F13" s="47" t="s">
        <v>266</v>
      </c>
      <c r="G13" s="46" t="s">
        <v>358</v>
      </c>
    </row>
    <row r="14" spans="1:7" x14ac:dyDescent="0.25">
      <c r="A14" s="34" t="s">
        <v>267</v>
      </c>
      <c r="B14" s="34" t="s">
        <v>268</v>
      </c>
      <c r="C14" s="34"/>
      <c r="D14" s="34"/>
      <c r="E14" s="46" t="s">
        <v>269</v>
      </c>
      <c r="F14" s="47" t="s">
        <v>270</v>
      </c>
      <c r="G14" s="46" t="s">
        <v>359</v>
      </c>
    </row>
    <row r="15" spans="1:7" x14ac:dyDescent="0.25">
      <c r="A15" s="34" t="s">
        <v>271</v>
      </c>
      <c r="B15" s="34" t="s">
        <v>272</v>
      </c>
      <c r="C15" s="34"/>
      <c r="D15" s="34"/>
      <c r="E15" s="46" t="s">
        <v>273</v>
      </c>
      <c r="F15" s="47" t="s">
        <v>274</v>
      </c>
      <c r="G15" s="46" t="s">
        <v>360</v>
      </c>
    </row>
    <row r="16" spans="1:7" x14ac:dyDescent="0.25">
      <c r="A16" s="34"/>
      <c r="B16" s="34" t="s">
        <v>275</v>
      </c>
      <c r="C16" s="34"/>
      <c r="D16" s="34"/>
      <c r="E16" s="46"/>
      <c r="F16" s="47"/>
      <c r="G16" s="46"/>
    </row>
    <row r="17" spans="1:7" x14ac:dyDescent="0.25">
      <c r="A17" s="34"/>
      <c r="B17" s="34" t="s">
        <v>99</v>
      </c>
      <c r="C17" s="34" t="s">
        <v>276</v>
      </c>
      <c r="D17" s="34"/>
      <c r="E17" s="46" t="s">
        <v>277</v>
      </c>
      <c r="F17" s="47" t="s">
        <v>278</v>
      </c>
      <c r="G17" s="46" t="s">
        <v>361</v>
      </c>
    </row>
    <row r="18" spans="1:7" x14ac:dyDescent="0.25">
      <c r="A18" s="34"/>
      <c r="B18" s="34" t="s">
        <v>104</v>
      </c>
      <c r="C18" s="34" t="s">
        <v>279</v>
      </c>
      <c r="D18" s="34"/>
      <c r="E18" s="46" t="s">
        <v>280</v>
      </c>
      <c r="F18" s="47" t="s">
        <v>281</v>
      </c>
      <c r="G18" s="46" t="s">
        <v>362</v>
      </c>
    </row>
    <row r="19" spans="1:7" x14ac:dyDescent="0.25">
      <c r="A19" s="34"/>
      <c r="B19" s="34" t="s">
        <v>108</v>
      </c>
      <c r="C19" s="34" t="s">
        <v>282</v>
      </c>
      <c r="D19" s="34"/>
      <c r="E19" s="46" t="s">
        <v>283</v>
      </c>
      <c r="F19" s="47" t="s">
        <v>284</v>
      </c>
      <c r="G19" s="46"/>
    </row>
    <row r="20" spans="1:7" x14ac:dyDescent="0.25">
      <c r="A20" s="34" t="s">
        <v>285</v>
      </c>
      <c r="B20" s="34" t="s">
        <v>286</v>
      </c>
      <c r="C20" s="34"/>
      <c r="D20" s="34"/>
      <c r="E20" s="46" t="s">
        <v>287</v>
      </c>
      <c r="F20" s="47" t="s">
        <v>288</v>
      </c>
      <c r="G20" s="46" t="s">
        <v>363</v>
      </c>
    </row>
    <row r="21" spans="1:7" x14ac:dyDescent="0.25">
      <c r="A21" s="34" t="s">
        <v>289</v>
      </c>
      <c r="B21" s="34" t="s">
        <v>290</v>
      </c>
      <c r="C21" s="34"/>
      <c r="D21" s="34"/>
      <c r="E21" s="46" t="s">
        <v>291</v>
      </c>
      <c r="F21" s="47" t="s">
        <v>292</v>
      </c>
      <c r="G21" s="46" t="s">
        <v>364</v>
      </c>
    </row>
    <row r="22" spans="1:7" x14ac:dyDescent="0.25">
      <c r="A22" s="34"/>
      <c r="B22" s="34" t="s">
        <v>293</v>
      </c>
      <c r="C22" s="34"/>
      <c r="D22" s="34"/>
      <c r="E22" s="46"/>
      <c r="F22" s="47"/>
      <c r="G22" s="46"/>
    </row>
    <row r="23" spans="1:7" x14ac:dyDescent="0.25">
      <c r="A23" s="34"/>
      <c r="B23" s="34" t="s">
        <v>294</v>
      </c>
      <c r="C23" s="34"/>
      <c r="D23" s="34"/>
      <c r="E23" s="46"/>
      <c r="F23" s="47"/>
      <c r="G23" s="46"/>
    </row>
    <row r="24" spans="1:7" x14ac:dyDescent="0.25">
      <c r="A24" s="34"/>
      <c r="B24" s="34" t="s">
        <v>295</v>
      </c>
      <c r="C24" s="34"/>
      <c r="D24" s="34"/>
      <c r="E24" s="46" t="s">
        <v>296</v>
      </c>
      <c r="F24" s="47" t="s">
        <v>297</v>
      </c>
      <c r="G24" s="46" t="s">
        <v>365</v>
      </c>
    </row>
    <row r="25" spans="1:7" x14ac:dyDescent="0.25">
      <c r="A25" s="34"/>
      <c r="B25" s="34" t="s">
        <v>298</v>
      </c>
      <c r="C25" s="34"/>
      <c r="D25" s="34"/>
      <c r="E25" s="46" t="s">
        <v>299</v>
      </c>
      <c r="F25" s="47" t="s">
        <v>300</v>
      </c>
      <c r="G25" s="46" t="s">
        <v>366</v>
      </c>
    </row>
    <row r="26" spans="1:7" x14ac:dyDescent="0.25">
      <c r="A26" s="34" t="s">
        <v>301</v>
      </c>
      <c r="B26" s="34" t="s">
        <v>302</v>
      </c>
      <c r="C26" s="34"/>
      <c r="D26" s="34"/>
      <c r="E26" s="46" t="s">
        <v>303</v>
      </c>
      <c r="F26" s="47" t="s">
        <v>304</v>
      </c>
      <c r="G26" s="46" t="s">
        <v>367</v>
      </c>
    </row>
    <row r="27" spans="1:7" x14ac:dyDescent="0.25">
      <c r="A27" s="34" t="s">
        <v>305</v>
      </c>
      <c r="B27" s="34" t="s">
        <v>306</v>
      </c>
      <c r="C27" s="34"/>
      <c r="D27" s="34"/>
      <c r="E27" s="46" t="s">
        <v>307</v>
      </c>
      <c r="F27" s="47" t="s">
        <v>308</v>
      </c>
      <c r="G27" s="46" t="s">
        <v>368</v>
      </c>
    </row>
    <row r="28" spans="1:7" x14ac:dyDescent="0.25">
      <c r="A28" s="34" t="s">
        <v>309</v>
      </c>
      <c r="B28" s="34" t="s">
        <v>310</v>
      </c>
      <c r="C28" s="34" t="s">
        <v>311</v>
      </c>
      <c r="D28" s="34" t="s">
        <v>312</v>
      </c>
      <c r="E28" s="46" t="s">
        <v>313</v>
      </c>
      <c r="F28" s="47" t="s">
        <v>314</v>
      </c>
      <c r="G28" s="46" t="s">
        <v>369</v>
      </c>
    </row>
    <row r="29" spans="1:7" x14ac:dyDescent="0.25">
      <c r="A29" s="34"/>
      <c r="B29" s="34"/>
      <c r="C29" s="34" t="s">
        <v>315</v>
      </c>
      <c r="D29" s="34" t="s">
        <v>312</v>
      </c>
      <c r="E29" s="46" t="s">
        <v>313</v>
      </c>
      <c r="F29" s="47" t="s">
        <v>314</v>
      </c>
      <c r="G29" s="46"/>
    </row>
  </sheetData>
  <pageMargins left="0.7" right="0.7" top="0.75" bottom="0.75" header="0.3" footer="0.3"/>
  <ignoredErrors>
    <ignoredError sqref="G3:G29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0894C-A618-44FC-9720-A64E1D43F7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Free Cash Flow</vt:lpstr>
      <vt:lpstr>Fixed Assets</vt:lpstr>
      <vt:lpstr>Net Working Capital</vt:lpstr>
      <vt:lpstr>DCF</vt:lpstr>
      <vt:lpstr>WACC</vt:lpstr>
      <vt:lpstr>BS 22-24</vt:lpstr>
      <vt:lpstr>Inc_St 22-24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lalit garg</cp:lastModifiedBy>
  <cp:lastPrinted>2012-12-06T18:14:13Z</cp:lastPrinted>
  <dcterms:created xsi:type="dcterms:W3CDTF">2012-08-17T09:55:37Z</dcterms:created>
  <dcterms:modified xsi:type="dcterms:W3CDTF">2024-09-20T04:34:32Z</dcterms:modified>
</cp:coreProperties>
</file>