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ustomProperty5.bin" ContentType="application/vnd.openxmlformats-officedocument.spreadsheetml.customProperty"/>
  <Override PartName="/xl/drawings/drawing7.xml" ContentType="application/vnd.openxmlformats-officedocument.drawing+xml"/>
  <Override PartName="/xl/customProperty6.bin" ContentType="application/vnd.openxmlformats-officedocument.spreadsheetml.customProperty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Engineering\01 Repos\rocketry-aero-and-stability\"/>
    </mc:Choice>
  </mc:AlternateContent>
  <xr:revisionPtr revIDLastSave="0" documentId="13_ncr:1_{045D3F4D-300D-4267-ADB9-596E0F34EE03}" xr6:coauthVersionLast="47" xr6:coauthVersionMax="47" xr10:uidLastSave="{00000000-0000-0000-0000-000000000000}"/>
  <bookViews>
    <workbookView xWindow="-110" yWindow="-110" windowWidth="19420" windowHeight="11500" tabRatio="864" firstSheet="4" activeTab="7" xr2:uid="{00000000-000D-0000-FFFF-FFFF00000000}"/>
  </bookViews>
  <sheets>
    <sheet name="Manual rev.1" sheetId="4" state="hidden" r:id="rId1"/>
    <sheet name="Statistics" sheetId="8" r:id="rId2"/>
    <sheet name="Geometry" sheetId="1" r:id="rId3"/>
    <sheet name="Forces balance" sheetId="16" r:id="rId4"/>
    <sheet name="Worst Load" sheetId="18" r:id="rId5"/>
    <sheet name="FinAeroDesign 2.0" sheetId="17" r:id="rId6"/>
    <sheet name="CFD fins" sheetId="22" r:id="rId7"/>
    <sheet name="CFD forebody" sheetId="9" r:id="rId8"/>
    <sheet name="Future CFD forebody" sheetId="21" r:id="rId9"/>
    <sheet name="RocketData" sheetId="14" r:id="rId10"/>
    <sheet name="Stability" sheetId="19" r:id="rId11"/>
    <sheet name="CFD fuselage" sheetId="10" state="hidden" r:id="rId12"/>
    <sheet name="CFD boat-tail" sheetId="11" state="hidden" r:id="rId13"/>
    <sheet name="CFD rocket" sheetId="12" state="hidden" r:id="rId14"/>
    <sheet name="OpenRocket" sheetId="6" state="hidden" r:id="rId15"/>
  </sheets>
  <definedNames>
    <definedName name="_xlnm._FilterDatabase" localSheetId="1" hidden="1">Statistics!$A$1:$E$8</definedName>
    <definedName name="Airflow">'FinAeroDesign 2.0'!$B$2</definedName>
    <definedName name="AoAfins">'FinAeroDesign 2.0'!$B$9</definedName>
    <definedName name="AoSfins">'FinAeroDesign 2.0'!$B$10</definedName>
    <definedName name="CrossSecAreaRocket">Geometry!$C$8</definedName>
    <definedName name="DiameterRocket">Geometry!$C$4</definedName>
    <definedName name="LargeOgive">Geometry!$P$26</definedName>
    <definedName name="LengthRocket">Geometry!$C$3</definedName>
    <definedName name="Rogive" comment="R for ogive">Geometry!$P$23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22" l="1"/>
  <c r="H90" i="22" l="1"/>
  <c r="G90" i="22"/>
  <c r="F90" i="22"/>
  <c r="E90" i="22"/>
  <c r="D90" i="22"/>
  <c r="C90" i="22"/>
  <c r="B90" i="22"/>
  <c r="H82" i="22"/>
  <c r="G82" i="22"/>
  <c r="F82" i="22"/>
  <c r="E82" i="22"/>
  <c r="D82" i="22"/>
  <c r="C82" i="22"/>
  <c r="B82" i="22"/>
  <c r="N26" i="22"/>
  <c r="K3" i="22"/>
  <c r="J3" i="22"/>
  <c r="G3" i="22"/>
  <c r="F3" i="22"/>
  <c r="E3" i="22"/>
  <c r="D3" i="22"/>
  <c r="K2" i="22"/>
  <c r="J2" i="22"/>
  <c r="I2" i="22"/>
  <c r="I3" i="22" s="1"/>
  <c r="H2" i="22"/>
  <c r="H3" i="22" s="1"/>
  <c r="G2" i="22"/>
  <c r="F2" i="22"/>
  <c r="E2" i="22"/>
  <c r="D2" i="22"/>
  <c r="C2" i="22"/>
  <c r="C3" i="22" s="1"/>
  <c r="B2" i="22"/>
  <c r="B3" i="22" s="1"/>
  <c r="C8" i="21"/>
  <c r="D8" i="21"/>
  <c r="E8" i="21"/>
  <c r="F8" i="21"/>
  <c r="C9" i="21"/>
  <c r="D9" i="21" s="1"/>
  <c r="E9" i="21" s="1"/>
  <c r="F9" i="21" s="1"/>
  <c r="D7" i="21"/>
  <c r="E7" i="21" s="1"/>
  <c r="F7" i="21" s="1"/>
  <c r="C7" i="21"/>
  <c r="B9" i="21"/>
  <c r="B8" i="21"/>
  <c r="B7" i="21"/>
  <c r="B3" i="21" l="1"/>
  <c r="C3" i="21" s="1"/>
  <c r="D3" i="21" s="1"/>
  <c r="E3" i="21" s="1"/>
  <c r="F3" i="21" s="1"/>
  <c r="G3" i="21" s="1"/>
  <c r="B4" i="21"/>
  <c r="C4" i="21" s="1"/>
  <c r="D4" i="21" s="1"/>
  <c r="E4" i="21" s="1"/>
  <c r="F4" i="21" s="1"/>
  <c r="G4" i="21" s="1"/>
  <c r="B2" i="21"/>
  <c r="C2" i="21" s="1"/>
  <c r="D2" i="21" s="1"/>
  <c r="E2" i="21" s="1"/>
  <c r="F2" i="21" s="1"/>
  <c r="G2" i="21" s="1"/>
  <c r="C90" i="9" l="1"/>
  <c r="D90" i="9"/>
  <c r="E90" i="9"/>
  <c r="F90" i="9"/>
  <c r="G90" i="9"/>
  <c r="H90" i="9"/>
  <c r="B90" i="9"/>
  <c r="C82" i="9"/>
  <c r="D82" i="9"/>
  <c r="E82" i="9"/>
  <c r="F82" i="9"/>
  <c r="G82" i="9"/>
  <c r="H82" i="9"/>
  <c r="B82" i="9"/>
  <c r="N26" i="9" l="1"/>
  <c r="C2" i="9"/>
  <c r="C3" i="9" s="1"/>
  <c r="D2" i="9"/>
  <c r="D3" i="9" s="1"/>
  <c r="E2" i="9"/>
  <c r="E3" i="9" s="1"/>
  <c r="F2" i="9"/>
  <c r="F3" i="9" s="1"/>
  <c r="G2" i="9"/>
  <c r="G3" i="9" s="1"/>
  <c r="H2" i="9"/>
  <c r="H3" i="9" s="1"/>
  <c r="I2" i="9"/>
  <c r="I3" i="9" s="1"/>
  <c r="J2" i="9"/>
  <c r="J3" i="9" s="1"/>
  <c r="K2" i="9"/>
  <c r="K3" i="9" s="1"/>
  <c r="B2" i="9"/>
  <c r="B3" i="9" s="1"/>
  <c r="B17" i="17"/>
  <c r="K168" i="17"/>
  <c r="J168" i="17"/>
  <c r="K167" i="17"/>
  <c r="J167" i="17"/>
  <c r="K166" i="17"/>
  <c r="J166" i="17"/>
  <c r="K165" i="17"/>
  <c r="J165" i="17"/>
  <c r="K164" i="17"/>
  <c r="J164" i="17"/>
  <c r="K102" i="17"/>
  <c r="J102" i="17"/>
  <c r="K95" i="17"/>
  <c r="J95" i="17"/>
  <c r="K55" i="17"/>
  <c r="J55" i="17"/>
  <c r="K48" i="17"/>
  <c r="K54" i="17" s="1"/>
  <c r="K57" i="17" s="1"/>
  <c r="J48" i="17"/>
  <c r="J54" i="17" s="1"/>
  <c r="J57" i="17" s="1"/>
  <c r="K44" i="17"/>
  <c r="J44" i="17"/>
  <c r="K42" i="17"/>
  <c r="J42" i="17"/>
  <c r="K40" i="17"/>
  <c r="J40" i="17"/>
  <c r="K38" i="17"/>
  <c r="J38" i="17"/>
  <c r="K17" i="17"/>
  <c r="K19" i="17" s="1"/>
  <c r="J17" i="17"/>
  <c r="J18" i="17" s="1"/>
  <c r="K12" i="17"/>
  <c r="J12" i="17"/>
  <c r="K11" i="17"/>
  <c r="J11" i="17"/>
  <c r="I168" i="17"/>
  <c r="H168" i="17"/>
  <c r="G168" i="17"/>
  <c r="F168" i="17"/>
  <c r="E168" i="17"/>
  <c r="D168" i="17"/>
  <c r="C168" i="17"/>
  <c r="I167" i="17"/>
  <c r="H167" i="17"/>
  <c r="G167" i="17"/>
  <c r="F167" i="17"/>
  <c r="E167" i="17"/>
  <c r="D167" i="17"/>
  <c r="C167" i="17"/>
  <c r="I166" i="17"/>
  <c r="H166" i="17"/>
  <c r="G166" i="17"/>
  <c r="F166" i="17"/>
  <c r="E166" i="17"/>
  <c r="D166" i="17"/>
  <c r="C166" i="17"/>
  <c r="I165" i="17"/>
  <c r="H165" i="17"/>
  <c r="G165" i="17"/>
  <c r="F165" i="17"/>
  <c r="E165" i="17"/>
  <c r="D165" i="17"/>
  <c r="C165" i="17"/>
  <c r="I164" i="17"/>
  <c r="H164" i="17"/>
  <c r="G164" i="17"/>
  <c r="F164" i="17"/>
  <c r="E164" i="17"/>
  <c r="D164" i="17"/>
  <c r="C164" i="17"/>
  <c r="I102" i="17"/>
  <c r="H102" i="17"/>
  <c r="G102" i="17"/>
  <c r="F102" i="17"/>
  <c r="E102" i="17"/>
  <c r="D102" i="17"/>
  <c r="C102" i="17"/>
  <c r="I95" i="17"/>
  <c r="H95" i="17"/>
  <c r="G95" i="17"/>
  <c r="F95" i="17"/>
  <c r="E95" i="17"/>
  <c r="D95" i="17"/>
  <c r="C95" i="17"/>
  <c r="I55" i="17"/>
  <c r="H55" i="17"/>
  <c r="G55" i="17"/>
  <c r="F55" i="17"/>
  <c r="E55" i="17"/>
  <c r="D55" i="17"/>
  <c r="C55" i="17"/>
  <c r="I48" i="17"/>
  <c r="I54" i="17" s="1"/>
  <c r="I57" i="17" s="1"/>
  <c r="H48" i="17"/>
  <c r="H54" i="17" s="1"/>
  <c r="H57" i="17" s="1"/>
  <c r="G48" i="17"/>
  <c r="G54" i="17" s="1"/>
  <c r="G57" i="17" s="1"/>
  <c r="F48" i="17"/>
  <c r="F54" i="17" s="1"/>
  <c r="F57" i="17" s="1"/>
  <c r="E48" i="17"/>
  <c r="E54" i="17" s="1"/>
  <c r="E57" i="17" s="1"/>
  <c r="D48" i="17"/>
  <c r="D54" i="17" s="1"/>
  <c r="D57" i="17" s="1"/>
  <c r="D58" i="17" s="1"/>
  <c r="C48" i="17"/>
  <c r="C54" i="17" s="1"/>
  <c r="C57" i="17" s="1"/>
  <c r="I44" i="17"/>
  <c r="H44" i="17"/>
  <c r="G44" i="17"/>
  <c r="F44" i="17"/>
  <c r="E44" i="17"/>
  <c r="D44" i="17"/>
  <c r="C44" i="17"/>
  <c r="I42" i="17"/>
  <c r="H42" i="17"/>
  <c r="G42" i="17"/>
  <c r="F42" i="17"/>
  <c r="E42" i="17"/>
  <c r="D42" i="17"/>
  <c r="C42" i="17"/>
  <c r="I40" i="17"/>
  <c r="H40" i="17"/>
  <c r="G40" i="17"/>
  <c r="F40" i="17"/>
  <c r="E40" i="17"/>
  <c r="D40" i="17"/>
  <c r="C40" i="17"/>
  <c r="I38" i="17"/>
  <c r="H38" i="17"/>
  <c r="G38" i="17"/>
  <c r="G105" i="17" s="1"/>
  <c r="F38" i="17"/>
  <c r="E38" i="17"/>
  <c r="D38" i="17"/>
  <c r="D105" i="17" s="1"/>
  <c r="C38" i="17"/>
  <c r="E18" i="17"/>
  <c r="I17" i="17"/>
  <c r="I19" i="17" s="1"/>
  <c r="H17" i="17"/>
  <c r="H19" i="17" s="1"/>
  <c r="G17" i="17"/>
  <c r="G19" i="17" s="1"/>
  <c r="F17" i="17"/>
  <c r="E17" i="17"/>
  <c r="E8" i="17" s="1"/>
  <c r="E2" i="17" s="1"/>
  <c r="E4" i="17" s="1"/>
  <c r="D17" i="17"/>
  <c r="D18" i="17" s="1"/>
  <c r="C17" i="17"/>
  <c r="C18" i="17" s="1"/>
  <c r="I12" i="17"/>
  <c r="H12" i="17"/>
  <c r="G12" i="17"/>
  <c r="F12" i="17"/>
  <c r="E12" i="17"/>
  <c r="D12" i="17"/>
  <c r="C12" i="17"/>
  <c r="I11" i="17"/>
  <c r="H11" i="17"/>
  <c r="G11" i="17"/>
  <c r="F11" i="17"/>
  <c r="E11" i="17"/>
  <c r="D11" i="17"/>
  <c r="C11" i="17"/>
  <c r="J224" i="17" l="1"/>
  <c r="C8" i="17"/>
  <c r="C2" i="17" s="1"/>
  <c r="C3" i="17" s="1"/>
  <c r="K8" i="17"/>
  <c r="K2" i="17" s="1"/>
  <c r="K224" i="17"/>
  <c r="G8" i="17"/>
  <c r="G2" i="17" s="1"/>
  <c r="G7" i="17" s="1"/>
  <c r="I15" i="17"/>
  <c r="I16" i="17" s="1"/>
  <c r="I20" i="17" s="1"/>
  <c r="H163" i="17"/>
  <c r="I8" i="17"/>
  <c r="I2" i="17" s="1"/>
  <c r="I7" i="17" s="1"/>
  <c r="K18" i="17"/>
  <c r="H15" i="17"/>
  <c r="H16" i="17" s="1"/>
  <c r="H20" i="17" s="1"/>
  <c r="G163" i="17"/>
  <c r="I18" i="17"/>
  <c r="K50" i="17"/>
  <c r="E69" i="17"/>
  <c r="C15" i="17"/>
  <c r="C16" i="17" s="1"/>
  <c r="C29" i="17" s="1"/>
  <c r="D70" i="17"/>
  <c r="D8" i="17"/>
  <c r="D2" i="17" s="1"/>
  <c r="D4" i="17" s="1"/>
  <c r="F50" i="17"/>
  <c r="G18" i="17"/>
  <c r="D163" i="17"/>
  <c r="C19" i="17"/>
  <c r="D224" i="17"/>
  <c r="J19" i="17"/>
  <c r="D50" i="17"/>
  <c r="K163" i="17"/>
  <c r="G15" i="17"/>
  <c r="G16" i="17" s="1"/>
  <c r="G20" i="17" s="1"/>
  <c r="J8" i="17"/>
  <c r="J2" i="17" s="1"/>
  <c r="J7" i="17" s="1"/>
  <c r="K15" i="17"/>
  <c r="K16" i="17" s="1"/>
  <c r="K29" i="17" s="1"/>
  <c r="J163" i="17"/>
  <c r="E3" i="17"/>
  <c r="E26" i="17" s="1"/>
  <c r="E28" i="17" s="1"/>
  <c r="C5" i="17"/>
  <c r="C25" i="17" s="1"/>
  <c r="C27" i="17" s="1"/>
  <c r="E5" i="17"/>
  <c r="E7" i="17"/>
  <c r="J58" i="17"/>
  <c r="J69" i="17"/>
  <c r="K58" i="17"/>
  <c r="K69" i="17"/>
  <c r="K7" i="17"/>
  <c r="K3" i="17"/>
  <c r="K103" i="17" s="1"/>
  <c r="K4" i="17"/>
  <c r="K5" i="17"/>
  <c r="J15" i="17"/>
  <c r="J16" i="17" s="1"/>
  <c r="J50" i="17"/>
  <c r="J105" i="17"/>
  <c r="K105" i="17"/>
  <c r="H69" i="17"/>
  <c r="H58" i="17"/>
  <c r="C58" i="17"/>
  <c r="C69" i="17"/>
  <c r="I58" i="17"/>
  <c r="I69" i="17"/>
  <c r="F18" i="17"/>
  <c r="F8" i="17"/>
  <c r="F2" i="17" s="1"/>
  <c r="G50" i="17"/>
  <c r="H18" i="17"/>
  <c r="H8" i="17"/>
  <c r="H2" i="17" s="1"/>
  <c r="H29" i="17" s="1"/>
  <c r="C224" i="17"/>
  <c r="C105" i="17"/>
  <c r="C50" i="17"/>
  <c r="I224" i="17"/>
  <c r="I105" i="17"/>
  <c r="I50" i="17"/>
  <c r="G69" i="17"/>
  <c r="G58" i="17"/>
  <c r="E58" i="17"/>
  <c r="G5" i="17"/>
  <c r="D69" i="17"/>
  <c r="C7" i="17"/>
  <c r="C4" i="17"/>
  <c r="C26" i="17" s="1"/>
  <c r="C28" i="17" s="1"/>
  <c r="G4" i="17"/>
  <c r="D19" i="17"/>
  <c r="D59" i="17"/>
  <c r="G3" i="17"/>
  <c r="D15" i="17"/>
  <c r="D16" i="17" s="1"/>
  <c r="E15" i="17"/>
  <c r="E16" i="17" s="1"/>
  <c r="E19" i="17"/>
  <c r="F19" i="17"/>
  <c r="F224" i="17"/>
  <c r="F105" i="17"/>
  <c r="F69" i="17"/>
  <c r="F58" i="17"/>
  <c r="F15" i="17"/>
  <c r="F16" i="17" s="1"/>
  <c r="H224" i="17"/>
  <c r="H105" i="17"/>
  <c r="H50" i="17"/>
  <c r="E224" i="17"/>
  <c r="E105" i="17"/>
  <c r="G224" i="17"/>
  <c r="E50" i="17"/>
  <c r="C163" i="17"/>
  <c r="I163" i="17"/>
  <c r="F163" i="17"/>
  <c r="E163" i="17"/>
  <c r="B11" i="17"/>
  <c r="B12" i="17"/>
  <c r="B18" i="17"/>
  <c r="I3" i="17" l="1"/>
  <c r="I5" i="17"/>
  <c r="I4" i="17"/>
  <c r="I29" i="17"/>
  <c r="E20" i="17"/>
  <c r="D3" i="17"/>
  <c r="D106" i="17" s="1"/>
  <c r="D5" i="17"/>
  <c r="D7" i="17"/>
  <c r="D81" i="17"/>
  <c r="C107" i="17"/>
  <c r="K20" i="17"/>
  <c r="G29" i="17"/>
  <c r="C20" i="17"/>
  <c r="C103" i="17"/>
  <c r="C99" i="17"/>
  <c r="C100" i="17"/>
  <c r="C106" i="17"/>
  <c r="F20" i="17"/>
  <c r="J4" i="17"/>
  <c r="G99" i="17"/>
  <c r="D20" i="17"/>
  <c r="J3" i="17"/>
  <c r="J109" i="17" s="1"/>
  <c r="J5" i="17"/>
  <c r="J25" i="17" s="1"/>
  <c r="J27" i="17" s="1"/>
  <c r="E103" i="17"/>
  <c r="E25" i="17"/>
  <c r="E27" i="17" s="1"/>
  <c r="I109" i="17"/>
  <c r="G100" i="17"/>
  <c r="G103" i="17"/>
  <c r="G107" i="17"/>
  <c r="G25" i="17"/>
  <c r="G27" i="17" s="1"/>
  <c r="G108" i="17"/>
  <c r="G106" i="17"/>
  <c r="I110" i="17"/>
  <c r="I25" i="17"/>
  <c r="I27" i="17" s="1"/>
  <c r="I100" i="17"/>
  <c r="I26" i="17"/>
  <c r="I28" i="17" s="1"/>
  <c r="G110" i="17"/>
  <c r="I108" i="17"/>
  <c r="I107" i="17"/>
  <c r="G26" i="17"/>
  <c r="G28" i="17" s="1"/>
  <c r="J108" i="17"/>
  <c r="J107" i="17"/>
  <c r="J29" i="17"/>
  <c r="K25" i="17"/>
  <c r="K27" i="17" s="1"/>
  <c r="K59" i="17"/>
  <c r="K70" i="17"/>
  <c r="K81" i="17" s="1"/>
  <c r="J70" i="17"/>
  <c r="J81" i="17" s="1"/>
  <c r="J59" i="17"/>
  <c r="K107" i="17"/>
  <c r="K26" i="17"/>
  <c r="K28" i="17" s="1"/>
  <c r="K110" i="17"/>
  <c r="K99" i="17"/>
  <c r="K109" i="17"/>
  <c r="K106" i="17"/>
  <c r="K108" i="17"/>
  <c r="J20" i="17"/>
  <c r="K100" i="17"/>
  <c r="D60" i="17"/>
  <c r="D71" i="17"/>
  <c r="C70" i="17"/>
  <c r="C81" i="17" s="1"/>
  <c r="C59" i="17"/>
  <c r="F70" i="17"/>
  <c r="F59" i="17"/>
  <c r="C109" i="17"/>
  <c r="F29" i="17"/>
  <c r="E109" i="17"/>
  <c r="E108" i="17"/>
  <c r="E106" i="17"/>
  <c r="E99" i="17"/>
  <c r="E107" i="17"/>
  <c r="E100" i="17"/>
  <c r="E29" i="17"/>
  <c r="E110" i="17"/>
  <c r="C108" i="17"/>
  <c r="I103" i="17"/>
  <c r="I99" i="17"/>
  <c r="I106" i="17"/>
  <c r="G109" i="17"/>
  <c r="D109" i="17"/>
  <c r="D107" i="17"/>
  <c r="D100" i="17"/>
  <c r="D108" i="17"/>
  <c r="D29" i="17"/>
  <c r="C110" i="17"/>
  <c r="E70" i="17"/>
  <c r="E59" i="17"/>
  <c r="H70" i="17"/>
  <c r="H81" i="17" s="1"/>
  <c r="H59" i="17"/>
  <c r="G59" i="17"/>
  <c r="G70" i="17"/>
  <c r="H5" i="17"/>
  <c r="H3" i="17"/>
  <c r="H4" i="17"/>
  <c r="H7" i="17"/>
  <c r="F3" i="17"/>
  <c r="F103" i="17" s="1"/>
  <c r="F4" i="17"/>
  <c r="F5" i="17"/>
  <c r="F7" i="17"/>
  <c r="I70" i="17"/>
  <c r="I81" i="17" s="1"/>
  <c r="I59" i="17"/>
  <c r="D25" i="17"/>
  <c r="D27" i="17" s="1"/>
  <c r="B19" i="17"/>
  <c r="B15" i="17"/>
  <c r="B16" i="17" s="1"/>
  <c r="B8" i="17"/>
  <c r="J103" i="17" l="1"/>
  <c r="D103" i="17"/>
  <c r="D26" i="17"/>
  <c r="D28" i="17" s="1"/>
  <c r="D99" i="17"/>
  <c r="D110" i="17"/>
  <c r="J26" i="17"/>
  <c r="J28" i="17" s="1"/>
  <c r="J100" i="17"/>
  <c r="J110" i="17"/>
  <c r="J106" i="17"/>
  <c r="J99" i="17"/>
  <c r="F25" i="17"/>
  <c r="F27" i="17" s="1"/>
  <c r="F109" i="17"/>
  <c r="F26" i="17"/>
  <c r="F28" i="17" s="1"/>
  <c r="H26" i="17"/>
  <c r="H28" i="17" s="1"/>
  <c r="F100" i="17"/>
  <c r="F110" i="17"/>
  <c r="H25" i="17"/>
  <c r="H27" i="17" s="1"/>
  <c r="F108" i="17"/>
  <c r="K94" i="17"/>
  <c r="K185" i="17" s="1"/>
  <c r="J71" i="17"/>
  <c r="J82" i="17" s="1"/>
  <c r="J60" i="17"/>
  <c r="J94" i="17"/>
  <c r="J128" i="17" s="1"/>
  <c r="J130" i="17" s="1"/>
  <c r="K71" i="17"/>
  <c r="K82" i="17" s="1"/>
  <c r="K60" i="17"/>
  <c r="I94" i="17"/>
  <c r="I185" i="17" s="1"/>
  <c r="D72" i="17"/>
  <c r="D61" i="17"/>
  <c r="F71" i="17"/>
  <c r="F82" i="17" s="1"/>
  <c r="F60" i="17"/>
  <c r="G60" i="17"/>
  <c r="G71" i="17"/>
  <c r="E71" i="17"/>
  <c r="E82" i="17" s="1"/>
  <c r="E60" i="17"/>
  <c r="F99" i="17"/>
  <c r="C71" i="17"/>
  <c r="C82" i="17" s="1"/>
  <c r="C60" i="17"/>
  <c r="G81" i="17"/>
  <c r="I60" i="17"/>
  <c r="I71" i="17"/>
  <c r="I82" i="17" s="1"/>
  <c r="E81" i="17"/>
  <c r="F106" i="17"/>
  <c r="H103" i="17"/>
  <c r="H100" i="17"/>
  <c r="H108" i="17"/>
  <c r="H106" i="17"/>
  <c r="H107" i="17"/>
  <c r="H99" i="17"/>
  <c r="H109" i="17"/>
  <c r="H110" i="17"/>
  <c r="H60" i="17"/>
  <c r="H71" i="17"/>
  <c r="F81" i="17"/>
  <c r="F107" i="17"/>
  <c r="D82" i="17"/>
  <c r="B20" i="17"/>
  <c r="K128" i="17" l="1"/>
  <c r="K130" i="17" s="1"/>
  <c r="K141" i="17" s="1"/>
  <c r="I128" i="17"/>
  <c r="I130" i="17" s="1"/>
  <c r="I141" i="17" s="1"/>
  <c r="J185" i="17"/>
  <c r="K61" i="17"/>
  <c r="K72" i="17"/>
  <c r="J61" i="17"/>
  <c r="J72" i="17"/>
  <c r="J83" i="17" s="1"/>
  <c r="J141" i="17"/>
  <c r="J131" i="17"/>
  <c r="J142" i="17" s="1"/>
  <c r="H94" i="17"/>
  <c r="H128" i="17" s="1"/>
  <c r="H130" i="17" s="1"/>
  <c r="C72" i="17"/>
  <c r="C83" i="17" s="1"/>
  <c r="C61" i="17"/>
  <c r="G61" i="17"/>
  <c r="G72" i="17"/>
  <c r="F61" i="17"/>
  <c r="F72" i="17"/>
  <c r="D62" i="17"/>
  <c r="D73" i="17"/>
  <c r="D83" i="17"/>
  <c r="H61" i="17"/>
  <c r="H72" i="17"/>
  <c r="H83" i="17" s="1"/>
  <c r="I72" i="17"/>
  <c r="I61" i="17"/>
  <c r="E61" i="17"/>
  <c r="E72" i="17"/>
  <c r="G82" i="17"/>
  <c r="H82" i="17"/>
  <c r="B102" i="17"/>
  <c r="B168" i="17"/>
  <c r="B38" i="17"/>
  <c r="B105" i="17" s="1"/>
  <c r="B40" i="17"/>
  <c r="B42" i="17"/>
  <c r="B44" i="17"/>
  <c r="B48" i="17"/>
  <c r="B54" i="17" s="1"/>
  <c r="B57" i="17" s="1"/>
  <c r="B55" i="17"/>
  <c r="B95" i="17"/>
  <c r="B165" i="17"/>
  <c r="B166" i="17"/>
  <c r="B167" i="17"/>
  <c r="B164" i="17"/>
  <c r="K131" i="17" l="1"/>
  <c r="K142" i="17" s="1"/>
  <c r="H185" i="17"/>
  <c r="I131" i="17"/>
  <c r="I142" i="17" s="1"/>
  <c r="K73" i="17"/>
  <c r="K62" i="17"/>
  <c r="K83" i="17"/>
  <c r="J132" i="17"/>
  <c r="J62" i="17"/>
  <c r="J73" i="17"/>
  <c r="H132" i="17"/>
  <c r="H143" i="17" s="1"/>
  <c r="I83" i="17"/>
  <c r="D63" i="17"/>
  <c r="D74" i="17"/>
  <c r="D85" i="17" s="1"/>
  <c r="F73" i="17"/>
  <c r="F84" i="17" s="1"/>
  <c r="F62" i="17"/>
  <c r="H141" i="17"/>
  <c r="E62" i="17"/>
  <c r="E73" i="17"/>
  <c r="E84" i="17" s="1"/>
  <c r="F83" i="17"/>
  <c r="H131" i="17"/>
  <c r="H142" i="17" s="1"/>
  <c r="H62" i="17"/>
  <c r="H73" i="17"/>
  <c r="G62" i="17"/>
  <c r="G73" i="17"/>
  <c r="G83" i="17"/>
  <c r="C73" i="17"/>
  <c r="C84" i="17" s="1"/>
  <c r="C62" i="17"/>
  <c r="E83" i="17"/>
  <c r="I73" i="17"/>
  <c r="I84" i="17" s="1"/>
  <c r="I62" i="17"/>
  <c r="D84" i="17"/>
  <c r="G94" i="17"/>
  <c r="G128" i="17" s="1"/>
  <c r="G130" i="17" s="1"/>
  <c r="B224" i="17"/>
  <c r="B2" i="17"/>
  <c r="B50" i="17"/>
  <c r="B58" i="17"/>
  <c r="B69" i="17"/>
  <c r="B163" i="17"/>
  <c r="G185" i="17" l="1"/>
  <c r="J143" i="17"/>
  <c r="K132" i="17"/>
  <c r="K74" i="17"/>
  <c r="K63" i="17"/>
  <c r="K85" i="17"/>
  <c r="J74" i="17"/>
  <c r="J63" i="17"/>
  <c r="K84" i="17"/>
  <c r="J84" i="17"/>
  <c r="E63" i="17"/>
  <c r="E74" i="17"/>
  <c r="E85" i="17" s="1"/>
  <c r="D64" i="17"/>
  <c r="D75" i="17"/>
  <c r="G132" i="17"/>
  <c r="G143" i="17" s="1"/>
  <c r="I63" i="17"/>
  <c r="I74" i="17"/>
  <c r="C74" i="17"/>
  <c r="C63" i="17"/>
  <c r="G84" i="17"/>
  <c r="I132" i="17"/>
  <c r="I85" i="17"/>
  <c r="G74" i="17"/>
  <c r="G63" i="17"/>
  <c r="F63" i="17"/>
  <c r="F74" i="17"/>
  <c r="I133" i="17"/>
  <c r="I144" i="17" s="1"/>
  <c r="H84" i="17"/>
  <c r="G141" i="17"/>
  <c r="G131" i="17"/>
  <c r="G142" i="17" s="1"/>
  <c r="H74" i="17"/>
  <c r="H63" i="17"/>
  <c r="B29" i="17"/>
  <c r="B7" i="17"/>
  <c r="B4" i="17"/>
  <c r="B3" i="17"/>
  <c r="B70" i="17"/>
  <c r="B59" i="17"/>
  <c r="B43" i="14"/>
  <c r="B45" i="14"/>
  <c r="B46" i="14" s="1"/>
  <c r="B103" i="17" l="1"/>
  <c r="B106" i="17"/>
  <c r="J133" i="17"/>
  <c r="K64" i="17"/>
  <c r="K75" i="17"/>
  <c r="K133" i="17"/>
  <c r="K144" i="17" s="1"/>
  <c r="J64" i="17"/>
  <c r="J75" i="17"/>
  <c r="K134" i="17"/>
  <c r="K145" i="17" s="1"/>
  <c r="K143" i="17"/>
  <c r="J85" i="17"/>
  <c r="I143" i="17"/>
  <c r="I86" i="17"/>
  <c r="F85" i="17"/>
  <c r="F75" i="17"/>
  <c r="F86" i="17" s="1"/>
  <c r="F64" i="17"/>
  <c r="G133" i="17"/>
  <c r="G144" i="17" s="1"/>
  <c r="I64" i="17"/>
  <c r="I75" i="17"/>
  <c r="E64" i="17"/>
  <c r="E75" i="17"/>
  <c r="E86" i="17" s="1"/>
  <c r="H64" i="17"/>
  <c r="H75" i="17"/>
  <c r="H86" i="17" s="1"/>
  <c r="D65" i="17"/>
  <c r="D76" i="17"/>
  <c r="D87" i="17" s="1"/>
  <c r="I134" i="17"/>
  <c r="I145" i="17" s="1"/>
  <c r="G75" i="17"/>
  <c r="G64" i="17"/>
  <c r="H133" i="17"/>
  <c r="G85" i="17"/>
  <c r="D86" i="17"/>
  <c r="H85" i="17"/>
  <c r="C85" i="17"/>
  <c r="C64" i="17"/>
  <c r="C75" i="17"/>
  <c r="B26" i="17"/>
  <c r="B28" i="17" s="1"/>
  <c r="B108" i="17"/>
  <c r="B109" i="17"/>
  <c r="B107" i="17"/>
  <c r="B100" i="17"/>
  <c r="B110" i="17"/>
  <c r="B99" i="17"/>
  <c r="B81" i="17"/>
  <c r="B71" i="17"/>
  <c r="B60" i="17"/>
  <c r="L23" i="16"/>
  <c r="M23" i="16"/>
  <c r="L38" i="16"/>
  <c r="N36" i="16"/>
  <c r="N37" i="16"/>
  <c r="N35" i="16"/>
  <c r="N48" i="16"/>
  <c r="N45" i="16"/>
  <c r="N50" i="16"/>
  <c r="L50" i="16" s="1"/>
  <c r="N40" i="16"/>
  <c r="L40" i="16" s="1"/>
  <c r="C12" i="8"/>
  <c r="D12" i="8"/>
  <c r="E12" i="8"/>
  <c r="F12" i="8"/>
  <c r="G12" i="8"/>
  <c r="H12" i="8"/>
  <c r="I12" i="8"/>
  <c r="J12" i="8"/>
  <c r="K12" i="8"/>
  <c r="B12" i="8"/>
  <c r="C13" i="8"/>
  <c r="D13" i="8"/>
  <c r="E13" i="8"/>
  <c r="F13" i="8"/>
  <c r="G13" i="8"/>
  <c r="H13" i="8"/>
  <c r="I13" i="8"/>
  <c r="J13" i="8"/>
  <c r="K13" i="8"/>
  <c r="B13" i="8"/>
  <c r="C14" i="8"/>
  <c r="D14" i="8"/>
  <c r="E14" i="8"/>
  <c r="F14" i="8"/>
  <c r="G14" i="8"/>
  <c r="G15" i="8" s="1"/>
  <c r="H14" i="8"/>
  <c r="H15" i="8" s="1"/>
  <c r="I14" i="8"/>
  <c r="I15" i="8" s="1"/>
  <c r="J14" i="8"/>
  <c r="J15" i="8" s="1"/>
  <c r="K14" i="8"/>
  <c r="K15" i="8" s="1"/>
  <c r="B14" i="8"/>
  <c r="B15" i="8" s="1"/>
  <c r="D16" i="8"/>
  <c r="E16" i="8"/>
  <c r="F16" i="8"/>
  <c r="G16" i="8"/>
  <c r="H16" i="8"/>
  <c r="I16" i="8"/>
  <c r="J16" i="8"/>
  <c r="K16" i="8"/>
  <c r="C16" i="8"/>
  <c r="B16" i="8"/>
  <c r="J17" i="8"/>
  <c r="K17" i="8"/>
  <c r="D17" i="8"/>
  <c r="E17" i="8"/>
  <c r="F17" i="8"/>
  <c r="G17" i="8"/>
  <c r="H17" i="8"/>
  <c r="I17" i="8"/>
  <c r="C17" i="8"/>
  <c r="B17" i="8"/>
  <c r="N10" i="8"/>
  <c r="M10" i="8"/>
  <c r="N9" i="8"/>
  <c r="M9" i="8"/>
  <c r="N7" i="8"/>
  <c r="M7" i="8"/>
  <c r="N6" i="8"/>
  <c r="M6" i="8"/>
  <c r="N5" i="8"/>
  <c r="M5" i="8"/>
  <c r="N4" i="8"/>
  <c r="M4" i="8"/>
  <c r="N3" i="8"/>
  <c r="M3" i="8"/>
  <c r="N2" i="8"/>
  <c r="M2" i="8"/>
  <c r="L2" i="8"/>
  <c r="X2" i="8" s="1"/>
  <c r="L3" i="8"/>
  <c r="P3" i="8" s="1"/>
  <c r="L4" i="8"/>
  <c r="U4" i="8" s="1"/>
  <c r="L5" i="8"/>
  <c r="U5" i="8" s="1"/>
  <c r="L6" i="8"/>
  <c r="X6" i="8" s="1"/>
  <c r="L7" i="8"/>
  <c r="V7" i="8" s="1"/>
  <c r="L9" i="8"/>
  <c r="V9" i="8" s="1"/>
  <c r="L10" i="8"/>
  <c r="R10" i="8" s="1"/>
  <c r="L8" i="8"/>
  <c r="X8" i="8" s="1"/>
  <c r="K17" i="19"/>
  <c r="C62" i="14"/>
  <c r="C63" i="14"/>
  <c r="C64" i="14"/>
  <c r="C65" i="14"/>
  <c r="C66" i="14"/>
  <c r="C61" i="14"/>
  <c r="D62" i="1"/>
  <c r="C8" i="1" s="1"/>
  <c r="B9" i="18"/>
  <c r="B14" i="18"/>
  <c r="B15" i="18" s="1"/>
  <c r="B10" i="18"/>
  <c r="B5" i="18"/>
  <c r="B4" i="18"/>
  <c r="B3" i="18"/>
  <c r="B5" i="17"/>
  <c r="D67" i="1"/>
  <c r="D65" i="1"/>
  <c r="D64" i="1"/>
  <c r="I64" i="1" s="1"/>
  <c r="P67" i="1"/>
  <c r="P65" i="1"/>
  <c r="P64" i="1"/>
  <c r="C4" i="1"/>
  <c r="C3" i="1"/>
  <c r="T22" i="1"/>
  <c r="F15" i="8"/>
  <c r="E15" i="8"/>
  <c r="D15" i="8"/>
  <c r="C15" i="8"/>
  <c r="B19" i="18" l="1"/>
  <c r="B21" i="18" s="1"/>
  <c r="B18" i="18"/>
  <c r="B20" i="18" s="1"/>
  <c r="B6" i="18"/>
  <c r="C67" i="14"/>
  <c r="N24" i="22"/>
  <c r="N24" i="9"/>
  <c r="E30" i="17"/>
  <c r="C30" i="17"/>
  <c r="G30" i="17"/>
  <c r="K30" i="17"/>
  <c r="I30" i="17"/>
  <c r="J30" i="17"/>
  <c r="H30" i="17"/>
  <c r="F30" i="17"/>
  <c r="D30" i="17"/>
  <c r="B30" i="17"/>
  <c r="B23" i="18"/>
  <c r="P6" i="8"/>
  <c r="Q6" i="8"/>
  <c r="R2" i="8"/>
  <c r="S6" i="8"/>
  <c r="T3" i="8"/>
  <c r="U2" i="8"/>
  <c r="U6" i="8"/>
  <c r="D99" i="1"/>
  <c r="I33" i="17"/>
  <c r="H33" i="17"/>
  <c r="C33" i="17"/>
  <c r="G33" i="17"/>
  <c r="F33" i="17"/>
  <c r="E33" i="17"/>
  <c r="K33" i="17"/>
  <c r="D33" i="17"/>
  <c r="J33" i="17"/>
  <c r="B33" i="17"/>
  <c r="W2" i="8"/>
  <c r="W6" i="8"/>
  <c r="V6" i="8"/>
  <c r="N41" i="16"/>
  <c r="L41" i="16" s="1"/>
  <c r="O6" i="8"/>
  <c r="P2" i="8"/>
  <c r="C114" i="17"/>
  <c r="C121" i="17" s="1"/>
  <c r="K114" i="17"/>
  <c r="K121" i="17" s="1"/>
  <c r="E114" i="17"/>
  <c r="E121" i="17" s="1"/>
  <c r="G114" i="17"/>
  <c r="G121" i="17" s="1"/>
  <c r="J114" i="17"/>
  <c r="J121" i="17" s="1"/>
  <c r="D114" i="17"/>
  <c r="D121" i="17" s="1"/>
  <c r="I114" i="17"/>
  <c r="I121" i="17" s="1"/>
  <c r="F114" i="17"/>
  <c r="F121" i="17" s="1"/>
  <c r="H114" i="17"/>
  <c r="H121" i="17" s="1"/>
  <c r="G113" i="17"/>
  <c r="G120" i="17" s="1"/>
  <c r="C113" i="17"/>
  <c r="C120" i="17" s="1"/>
  <c r="E113" i="17"/>
  <c r="E120" i="17" s="1"/>
  <c r="K113" i="17"/>
  <c r="K120" i="17" s="1"/>
  <c r="J113" i="17"/>
  <c r="J120" i="17" s="1"/>
  <c r="D113" i="17"/>
  <c r="D120" i="17" s="1"/>
  <c r="F113" i="17"/>
  <c r="F120" i="17" s="1"/>
  <c r="I113" i="17"/>
  <c r="I120" i="17" s="1"/>
  <c r="H113" i="17"/>
  <c r="H120" i="17" s="1"/>
  <c r="K115" i="17"/>
  <c r="K122" i="17" s="1"/>
  <c r="C115" i="17"/>
  <c r="C122" i="17" s="1"/>
  <c r="G115" i="17"/>
  <c r="G122" i="17" s="1"/>
  <c r="E115" i="17"/>
  <c r="E122" i="17" s="1"/>
  <c r="F115" i="17"/>
  <c r="F122" i="17" s="1"/>
  <c r="D115" i="17"/>
  <c r="D122" i="17" s="1"/>
  <c r="J115" i="17"/>
  <c r="J122" i="17" s="1"/>
  <c r="I115" i="17"/>
  <c r="I122" i="17" s="1"/>
  <c r="H115" i="17"/>
  <c r="H122" i="17" s="1"/>
  <c r="K112" i="17"/>
  <c r="K119" i="17" s="1"/>
  <c r="G112" i="17"/>
  <c r="G119" i="17" s="1"/>
  <c r="E112" i="17"/>
  <c r="E119" i="17" s="1"/>
  <c r="C112" i="17"/>
  <c r="C119" i="17" s="1"/>
  <c r="I112" i="17"/>
  <c r="I119" i="17" s="1"/>
  <c r="J112" i="17"/>
  <c r="J119" i="17" s="1"/>
  <c r="F112" i="17"/>
  <c r="F119" i="17" s="1"/>
  <c r="D112" i="17"/>
  <c r="D119" i="17" s="1"/>
  <c r="H112" i="17"/>
  <c r="H119" i="17" s="1"/>
  <c r="K116" i="17"/>
  <c r="C116" i="17"/>
  <c r="G116" i="17"/>
  <c r="E116" i="17"/>
  <c r="F116" i="17"/>
  <c r="I116" i="17"/>
  <c r="J116" i="17"/>
  <c r="D116" i="17"/>
  <c r="H116" i="17"/>
  <c r="J134" i="17"/>
  <c r="J145" i="17" s="1"/>
  <c r="K76" i="17"/>
  <c r="K87" i="17" s="1"/>
  <c r="K65" i="17"/>
  <c r="J86" i="17"/>
  <c r="J76" i="17"/>
  <c r="J65" i="17"/>
  <c r="K86" i="17"/>
  <c r="J144" i="17"/>
  <c r="H144" i="17"/>
  <c r="C86" i="17"/>
  <c r="D77" i="17"/>
  <c r="D66" i="17"/>
  <c r="G134" i="17"/>
  <c r="I65" i="17"/>
  <c r="I76" i="17"/>
  <c r="I87" i="17" s="1"/>
  <c r="I135" i="17"/>
  <c r="I146" i="17" s="1"/>
  <c r="E65" i="17"/>
  <c r="E76" i="17"/>
  <c r="E87" i="17" s="1"/>
  <c r="F76" i="17"/>
  <c r="F65" i="17"/>
  <c r="C76" i="17"/>
  <c r="C65" i="17"/>
  <c r="F87" i="17"/>
  <c r="H134" i="17"/>
  <c r="H145" i="17" s="1"/>
  <c r="G86" i="17"/>
  <c r="G76" i="17"/>
  <c r="G87" i="17" s="1"/>
  <c r="G65" i="17"/>
  <c r="H65" i="17"/>
  <c r="H76" i="17"/>
  <c r="H87" i="17" s="1"/>
  <c r="H135" i="17"/>
  <c r="H146" i="17" s="1"/>
  <c r="B25" i="17"/>
  <c r="B27" i="17" s="1"/>
  <c r="B112" i="17"/>
  <c r="B119" i="17" s="1"/>
  <c r="B114" i="17"/>
  <c r="B121" i="17" s="1"/>
  <c r="B116" i="17"/>
  <c r="B113" i="17"/>
  <c r="B120" i="17" s="1"/>
  <c r="B115" i="17"/>
  <c r="B122" i="17" s="1"/>
  <c r="B82" i="17"/>
  <c r="B72" i="17"/>
  <c r="B61" i="17"/>
  <c r="Q2" i="8"/>
  <c r="O10" i="8"/>
  <c r="Q10" i="8"/>
  <c r="V2" i="8"/>
  <c r="R5" i="8"/>
  <c r="R4" i="8"/>
  <c r="O5" i="8"/>
  <c r="Q5" i="8"/>
  <c r="T6" i="8"/>
  <c r="V5" i="8"/>
  <c r="X5" i="8"/>
  <c r="W8" i="8"/>
  <c r="V8" i="8"/>
  <c r="U7" i="8"/>
  <c r="P5" i="8"/>
  <c r="S4" i="8"/>
  <c r="R3" i="8"/>
  <c r="O4" i="8"/>
  <c r="Q4" i="8"/>
  <c r="T5" i="8"/>
  <c r="V4" i="8"/>
  <c r="X4" i="8"/>
  <c r="O3" i="8"/>
  <c r="Q3" i="8"/>
  <c r="T4" i="8"/>
  <c r="V3" i="8"/>
  <c r="X3" i="8"/>
  <c r="U8" i="8"/>
  <c r="T8" i="8"/>
  <c r="S8" i="8"/>
  <c r="Q8" i="8"/>
  <c r="P9" i="8"/>
  <c r="S9" i="8"/>
  <c r="U10" i="8"/>
  <c r="W9" i="8"/>
  <c r="P7" i="8"/>
  <c r="S7" i="8"/>
  <c r="U9" i="8"/>
  <c r="W7" i="8"/>
  <c r="P8" i="8"/>
  <c r="O8" i="8"/>
  <c r="S10" i="8"/>
  <c r="S5" i="8"/>
  <c r="W5" i="8"/>
  <c r="S3" i="8"/>
  <c r="W3" i="8"/>
  <c r="O2" i="8"/>
  <c r="S2" i="8"/>
  <c r="U3" i="8"/>
  <c r="R9" i="8"/>
  <c r="R7" i="8"/>
  <c r="O9" i="8"/>
  <c r="Q9" i="8"/>
  <c r="T10" i="8"/>
  <c r="V10" i="8"/>
  <c r="X9" i="8"/>
  <c r="P10" i="8"/>
  <c r="P4" i="8"/>
  <c r="W4" i="8"/>
  <c r="T2" i="8"/>
  <c r="X10" i="8"/>
  <c r="R6" i="8"/>
  <c r="Y6" i="8" s="1"/>
  <c r="O7" i="8"/>
  <c r="Q7" i="8"/>
  <c r="T9" i="8"/>
  <c r="X7" i="8"/>
  <c r="W10" i="8"/>
  <c r="T7" i="8"/>
  <c r="F60" i="1"/>
  <c r="D25" i="1"/>
  <c r="B12" i="18"/>
  <c r="B13" i="18" s="1"/>
  <c r="P25" i="1"/>
  <c r="P23" i="1" s="1"/>
  <c r="U22" i="1" s="1"/>
  <c r="V22" i="1" s="1"/>
  <c r="D42" i="1"/>
  <c r="I67" i="1" s="1"/>
  <c r="B64" i="22" l="1"/>
  <c r="B73" i="22"/>
  <c r="C54" i="22"/>
  <c r="F64" i="22"/>
  <c r="F73" i="22"/>
  <c r="C73" i="22"/>
  <c r="E73" i="22"/>
  <c r="C64" i="22"/>
  <c r="D54" i="22"/>
  <c r="D73" i="22"/>
  <c r="H64" i="22"/>
  <c r="G73" i="22"/>
  <c r="D64" i="22"/>
  <c r="H54" i="22"/>
  <c r="F54" i="22"/>
  <c r="H73" i="22"/>
  <c r="G64" i="22"/>
  <c r="E54" i="22"/>
  <c r="E64" i="22"/>
  <c r="B54" i="22"/>
  <c r="G54" i="22"/>
  <c r="I39" i="1"/>
  <c r="I35" i="1"/>
  <c r="I34" i="1"/>
  <c r="E64" i="9"/>
  <c r="H64" i="9"/>
  <c r="G54" i="9"/>
  <c r="B54" i="9"/>
  <c r="H54" i="9"/>
  <c r="B64" i="9"/>
  <c r="D73" i="9"/>
  <c r="G64" i="9"/>
  <c r="D64" i="9"/>
  <c r="E54" i="9"/>
  <c r="C73" i="9"/>
  <c r="H73" i="9"/>
  <c r="E73" i="9"/>
  <c r="B73" i="9"/>
  <c r="D54" i="9"/>
  <c r="C54" i="9"/>
  <c r="F54" i="9"/>
  <c r="G73" i="9"/>
  <c r="C64" i="9"/>
  <c r="F64" i="9"/>
  <c r="F73" i="9"/>
  <c r="I33" i="1"/>
  <c r="B34" i="17"/>
  <c r="B187" i="17" s="1"/>
  <c r="B45" i="17"/>
  <c r="B46" i="17" s="1"/>
  <c r="B35" i="17"/>
  <c r="B36" i="17" s="1"/>
  <c r="J45" i="17"/>
  <c r="J46" i="17" s="1"/>
  <c r="J35" i="17"/>
  <c r="J36" i="17" s="1"/>
  <c r="J34" i="17"/>
  <c r="J187" i="17" s="1"/>
  <c r="D34" i="17"/>
  <c r="D187" i="17" s="1"/>
  <c r="D45" i="17"/>
  <c r="D46" i="17" s="1"/>
  <c r="D35" i="17"/>
  <c r="D36" i="17" s="1"/>
  <c r="D49" i="17" s="1"/>
  <c r="D51" i="17" s="1"/>
  <c r="K45" i="17"/>
  <c r="K46" i="17" s="1"/>
  <c r="K35" i="17"/>
  <c r="K36" i="17" s="1"/>
  <c r="K34" i="17"/>
  <c r="K187" i="17" s="1"/>
  <c r="E34" i="17"/>
  <c r="E187" i="17" s="1"/>
  <c r="E35" i="17"/>
  <c r="E36" i="17" s="1"/>
  <c r="E45" i="17"/>
  <c r="E46" i="17" s="1"/>
  <c r="AA6" i="8"/>
  <c r="F45" i="17"/>
  <c r="F46" i="17" s="1"/>
  <c r="F35" i="17"/>
  <c r="F36" i="17" s="1"/>
  <c r="F34" i="17"/>
  <c r="F187" i="17" s="1"/>
  <c r="G35" i="17"/>
  <c r="G36" i="17" s="1"/>
  <c r="G34" i="17"/>
  <c r="G187" i="17" s="1"/>
  <c r="G45" i="17"/>
  <c r="G46" i="17" s="1"/>
  <c r="C45" i="17"/>
  <c r="C46" i="17" s="1"/>
  <c r="C35" i="17"/>
  <c r="C36" i="17" s="1"/>
  <c r="C34" i="17"/>
  <c r="C187" i="17" s="1"/>
  <c r="Z6" i="8"/>
  <c r="H34" i="17"/>
  <c r="H187" i="17" s="1"/>
  <c r="H35" i="17"/>
  <c r="H36" i="17" s="1"/>
  <c r="H45" i="17"/>
  <c r="H46" i="17" s="1"/>
  <c r="I45" i="17"/>
  <c r="I46" i="17" s="1"/>
  <c r="I34" i="17"/>
  <c r="I187" i="17" s="1"/>
  <c r="I35" i="17"/>
  <c r="I36" i="17" s="1"/>
  <c r="I49" i="17" s="1"/>
  <c r="I51" i="17" s="1"/>
  <c r="B16" i="18"/>
  <c r="B22" i="18"/>
  <c r="B26" i="18" s="1"/>
  <c r="C104" i="17"/>
  <c r="C123" i="17"/>
  <c r="C117" i="17" s="1"/>
  <c r="J104" i="17"/>
  <c r="J123" i="17"/>
  <c r="J117" i="17" s="1"/>
  <c r="I104" i="17"/>
  <c r="I123" i="17"/>
  <c r="I117" i="17" s="1"/>
  <c r="H123" i="17"/>
  <c r="H117" i="17" s="1"/>
  <c r="H104" i="17"/>
  <c r="G104" i="17"/>
  <c r="G123" i="17"/>
  <c r="G117" i="17" s="1"/>
  <c r="D104" i="17"/>
  <c r="D123" i="17"/>
  <c r="D117" i="17" s="1"/>
  <c r="F104" i="17"/>
  <c r="F123" i="17"/>
  <c r="F117" i="17" s="1"/>
  <c r="K123" i="17"/>
  <c r="K117" i="17" s="1"/>
  <c r="K104" i="17"/>
  <c r="E123" i="17"/>
  <c r="E117" i="17" s="1"/>
  <c r="E104" i="17"/>
  <c r="J77" i="17"/>
  <c r="J66" i="17"/>
  <c r="K136" i="17"/>
  <c r="K147" i="17" s="1"/>
  <c r="J135" i="17"/>
  <c r="K77" i="17"/>
  <c r="K66" i="17"/>
  <c r="K135" i="17"/>
  <c r="K88" i="17"/>
  <c r="J87" i="17"/>
  <c r="G136" i="17"/>
  <c r="G147" i="17" s="1"/>
  <c r="H66" i="17"/>
  <c r="H77" i="17"/>
  <c r="H88" i="17" s="1"/>
  <c r="H136" i="17"/>
  <c r="G66" i="17"/>
  <c r="G77" i="17"/>
  <c r="C66" i="17"/>
  <c r="C77" i="17"/>
  <c r="C88" i="17" s="1"/>
  <c r="G88" i="17"/>
  <c r="G135" i="17"/>
  <c r="G146" i="17" s="1"/>
  <c r="F66" i="17"/>
  <c r="F77" i="17"/>
  <c r="F88" i="17" s="1"/>
  <c r="I136" i="17"/>
  <c r="I147" i="17" s="1"/>
  <c r="G145" i="17"/>
  <c r="D88" i="17"/>
  <c r="C87" i="17"/>
  <c r="E77" i="17"/>
  <c r="E66" i="17"/>
  <c r="I66" i="17"/>
  <c r="I77" i="17"/>
  <c r="D78" i="17"/>
  <c r="D67" i="17"/>
  <c r="D79" i="17" s="1"/>
  <c r="B123" i="17"/>
  <c r="B117" i="17" s="1"/>
  <c r="B104" i="17"/>
  <c r="B73" i="17"/>
  <c r="B84" i="17" s="1"/>
  <c r="B62" i="17"/>
  <c r="B83" i="17"/>
  <c r="Y3" i="8"/>
  <c r="Z3" i="8"/>
  <c r="Y4" i="8"/>
  <c r="Z4" i="8"/>
  <c r="Z9" i="8"/>
  <c r="Y9" i="8"/>
  <c r="AA9" i="8" s="1"/>
  <c r="Z10" i="8"/>
  <c r="Y10" i="8"/>
  <c r="Z5" i="8"/>
  <c r="Y5" i="8"/>
  <c r="AA5" i="8" s="1"/>
  <c r="Y8" i="8"/>
  <c r="AA8" i="8" s="1"/>
  <c r="Z8" i="8"/>
  <c r="Z7" i="8"/>
  <c r="Y7" i="8"/>
  <c r="AA7" i="8" s="1"/>
  <c r="Z2" i="8"/>
  <c r="Y2" i="8"/>
  <c r="AA2" i="8" s="1"/>
  <c r="I32" i="1"/>
  <c r="I40" i="1"/>
  <c r="I36" i="1"/>
  <c r="I38" i="1"/>
  <c r="I31" i="1"/>
  <c r="I37" i="1"/>
  <c r="K49" i="17" l="1"/>
  <c r="K51" i="17" s="1"/>
  <c r="J49" i="17"/>
  <c r="J51" i="17" s="1"/>
  <c r="J97" i="17" s="1"/>
  <c r="B49" i="17"/>
  <c r="B51" i="17" s="1"/>
  <c r="B97" i="17" s="1"/>
  <c r="C49" i="17"/>
  <c r="C51" i="17" s="1"/>
  <c r="E49" i="17"/>
  <c r="F49" i="17"/>
  <c r="AA4" i="8"/>
  <c r="AA3" i="8"/>
  <c r="E192" i="17"/>
  <c r="E202" i="17" s="1"/>
  <c r="E195" i="17"/>
  <c r="E205" i="17" s="1"/>
  <c r="E191" i="17"/>
  <c r="E201" i="17" s="1"/>
  <c r="E193" i="17"/>
  <c r="E203" i="17" s="1"/>
  <c r="E194" i="17"/>
  <c r="E204" i="17" s="1"/>
  <c r="E189" i="17"/>
  <c r="E199" i="17" s="1"/>
  <c r="E197" i="17"/>
  <c r="E207" i="17" s="1"/>
  <c r="E190" i="17"/>
  <c r="E200" i="17" s="1"/>
  <c r="E196" i="17"/>
  <c r="E206" i="17" s="1"/>
  <c r="D194" i="17"/>
  <c r="D204" i="17" s="1"/>
  <c r="D189" i="17"/>
  <c r="D199" i="17" s="1"/>
  <c r="D193" i="17"/>
  <c r="D203" i="17" s="1"/>
  <c r="D196" i="17"/>
  <c r="D206" i="17" s="1"/>
  <c r="D195" i="17"/>
  <c r="D205" i="17" s="1"/>
  <c r="D197" i="17"/>
  <c r="D207" i="17" s="1"/>
  <c r="D191" i="17"/>
  <c r="D201" i="17" s="1"/>
  <c r="D192" i="17"/>
  <c r="D202" i="17" s="1"/>
  <c r="D190" i="17"/>
  <c r="D200" i="17" s="1"/>
  <c r="I96" i="17"/>
  <c r="I97" i="17"/>
  <c r="D97" i="17"/>
  <c r="D96" i="17"/>
  <c r="J191" i="17"/>
  <c r="J201" i="17" s="1"/>
  <c r="J193" i="17"/>
  <c r="J203" i="17" s="1"/>
  <c r="J195" i="17"/>
  <c r="J205" i="17" s="1"/>
  <c r="J192" i="17"/>
  <c r="J202" i="17" s="1"/>
  <c r="J190" i="17"/>
  <c r="J200" i="17" s="1"/>
  <c r="J194" i="17"/>
  <c r="J204" i="17" s="1"/>
  <c r="J197" i="17"/>
  <c r="J207" i="17" s="1"/>
  <c r="J189" i="17"/>
  <c r="J199" i="17" s="1"/>
  <c r="J196" i="17"/>
  <c r="J206" i="17" s="1"/>
  <c r="J239" i="17"/>
  <c r="J227" i="17"/>
  <c r="G190" i="17"/>
  <c r="G200" i="17" s="1"/>
  <c r="G192" i="17"/>
  <c r="G202" i="17" s="1"/>
  <c r="G193" i="17"/>
  <c r="G203" i="17" s="1"/>
  <c r="G194" i="17"/>
  <c r="G204" i="17" s="1"/>
  <c r="G191" i="17"/>
  <c r="G201" i="17" s="1"/>
  <c r="G197" i="17"/>
  <c r="G207" i="17" s="1"/>
  <c r="G196" i="17"/>
  <c r="G206" i="17" s="1"/>
  <c r="G195" i="17"/>
  <c r="G205" i="17" s="1"/>
  <c r="G189" i="17"/>
  <c r="G199" i="17" s="1"/>
  <c r="G239" i="17"/>
  <c r="G227" i="17"/>
  <c r="H49" i="17"/>
  <c r="H51" i="17" s="1"/>
  <c r="C97" i="17"/>
  <c r="C96" i="17"/>
  <c r="C93" i="17" s="1"/>
  <c r="G49" i="17"/>
  <c r="G51" i="17" s="1"/>
  <c r="I191" i="17"/>
  <c r="I201" i="17" s="1"/>
  <c r="I197" i="17"/>
  <c r="I207" i="17" s="1"/>
  <c r="I193" i="17"/>
  <c r="I203" i="17" s="1"/>
  <c r="I195" i="17"/>
  <c r="I205" i="17" s="1"/>
  <c r="I196" i="17"/>
  <c r="I206" i="17" s="1"/>
  <c r="I189" i="17"/>
  <c r="I199" i="17" s="1"/>
  <c r="I190" i="17"/>
  <c r="I200" i="17" s="1"/>
  <c r="I192" i="17"/>
  <c r="I202" i="17" s="1"/>
  <c r="I194" i="17"/>
  <c r="I204" i="17" s="1"/>
  <c r="I239" i="17"/>
  <c r="I227" i="17"/>
  <c r="K195" i="17"/>
  <c r="K205" i="17" s="1"/>
  <c r="K189" i="17"/>
  <c r="K199" i="17" s="1"/>
  <c r="K192" i="17"/>
  <c r="K202" i="17" s="1"/>
  <c r="K196" i="17"/>
  <c r="K206" i="17" s="1"/>
  <c r="K193" i="17"/>
  <c r="K203" i="17" s="1"/>
  <c r="K191" i="17"/>
  <c r="K201" i="17" s="1"/>
  <c r="K190" i="17"/>
  <c r="K200" i="17" s="1"/>
  <c r="K194" i="17"/>
  <c r="K204" i="17" s="1"/>
  <c r="K197" i="17"/>
  <c r="K207" i="17" s="1"/>
  <c r="K239" i="17"/>
  <c r="K227" i="17"/>
  <c r="F194" i="17"/>
  <c r="F204" i="17" s="1"/>
  <c r="F196" i="17"/>
  <c r="F206" i="17" s="1"/>
  <c r="F197" i="17"/>
  <c r="F207" i="17" s="1"/>
  <c r="F189" i="17"/>
  <c r="F199" i="17" s="1"/>
  <c r="F192" i="17"/>
  <c r="F202" i="17" s="1"/>
  <c r="F195" i="17"/>
  <c r="F205" i="17" s="1"/>
  <c r="F191" i="17"/>
  <c r="F201" i="17" s="1"/>
  <c r="F193" i="17"/>
  <c r="F203" i="17" s="1"/>
  <c r="F190" i="17"/>
  <c r="F200" i="17" s="1"/>
  <c r="H189" i="17"/>
  <c r="H199" i="17" s="1"/>
  <c r="H197" i="17"/>
  <c r="H207" i="17" s="1"/>
  <c r="H194" i="17"/>
  <c r="H204" i="17" s="1"/>
  <c r="H190" i="17"/>
  <c r="H200" i="17" s="1"/>
  <c r="H193" i="17"/>
  <c r="H203" i="17" s="1"/>
  <c r="H196" i="17"/>
  <c r="H206" i="17" s="1"/>
  <c r="H192" i="17"/>
  <c r="H202" i="17" s="1"/>
  <c r="H191" i="17"/>
  <c r="H201" i="17" s="1"/>
  <c r="H195" i="17"/>
  <c r="H205" i="17" s="1"/>
  <c r="H227" i="17"/>
  <c r="H239" i="17"/>
  <c r="E51" i="17"/>
  <c r="K97" i="17"/>
  <c r="K96" i="17"/>
  <c r="K93" i="17" s="1"/>
  <c r="C196" i="17"/>
  <c r="C206" i="17" s="1"/>
  <c r="C189" i="17"/>
  <c r="C199" i="17" s="1"/>
  <c r="C193" i="17"/>
  <c r="C203" i="17" s="1"/>
  <c r="C197" i="17"/>
  <c r="C207" i="17" s="1"/>
  <c r="C195" i="17"/>
  <c r="C205" i="17" s="1"/>
  <c r="C191" i="17"/>
  <c r="C201" i="17" s="1"/>
  <c r="C194" i="17"/>
  <c r="C204" i="17" s="1"/>
  <c r="C190" i="17"/>
  <c r="C200" i="17" s="1"/>
  <c r="C192" i="17"/>
  <c r="C202" i="17" s="1"/>
  <c r="AA10" i="8"/>
  <c r="F51" i="17"/>
  <c r="B191" i="17"/>
  <c r="B201" i="17" s="1"/>
  <c r="B189" i="17"/>
  <c r="B199" i="17" s="1"/>
  <c r="B192" i="17"/>
  <c r="B202" i="17" s="1"/>
  <c r="B193" i="17"/>
  <c r="B203" i="17" s="1"/>
  <c r="B194" i="17"/>
  <c r="B204" i="17" s="1"/>
  <c r="B190" i="17"/>
  <c r="B200" i="17" s="1"/>
  <c r="B197" i="17"/>
  <c r="B207" i="17" s="1"/>
  <c r="B195" i="17"/>
  <c r="B196" i="17"/>
  <c r="B206" i="17" s="1"/>
  <c r="K146" i="17"/>
  <c r="K137" i="17"/>
  <c r="K148" i="17" s="1"/>
  <c r="J146" i="17"/>
  <c r="K67" i="17"/>
  <c r="K79" i="17" s="1"/>
  <c r="K78" i="17"/>
  <c r="J88" i="17"/>
  <c r="J136" i="17"/>
  <c r="J147" i="17" s="1"/>
  <c r="J67" i="17"/>
  <c r="J79" i="17" s="1"/>
  <c r="J78" i="17"/>
  <c r="E67" i="17"/>
  <c r="E79" i="17" s="1"/>
  <c r="E78" i="17"/>
  <c r="E89" i="17" s="1"/>
  <c r="D90" i="17"/>
  <c r="I67" i="17"/>
  <c r="I79" i="17" s="1"/>
  <c r="I78" i="17"/>
  <c r="I90" i="17" s="1"/>
  <c r="H147" i="17"/>
  <c r="C78" i="17"/>
  <c r="C89" i="17" s="1"/>
  <c r="C67" i="17"/>
  <c r="C79" i="17" s="1"/>
  <c r="E88" i="17"/>
  <c r="G78" i="17"/>
  <c r="G67" i="17"/>
  <c r="G79" i="17" s="1"/>
  <c r="H67" i="17"/>
  <c r="H79" i="17" s="1"/>
  <c r="H78" i="17"/>
  <c r="I88" i="17"/>
  <c r="G137" i="17"/>
  <c r="H137" i="17"/>
  <c r="H148" i="17" s="1"/>
  <c r="F67" i="17"/>
  <c r="F79" i="17" s="1"/>
  <c r="F78" i="17"/>
  <c r="F90" i="17" s="1"/>
  <c r="D89" i="17"/>
  <c r="B63" i="17"/>
  <c r="B74" i="17"/>
  <c r="B85" i="17" s="1"/>
  <c r="M20" i="16"/>
  <c r="A196" i="4"/>
  <c r="A197" i="4" s="1"/>
  <c r="A198" i="4" s="1"/>
  <c r="A199" i="4" s="1"/>
  <c r="A200" i="4" s="1"/>
  <c r="A201" i="4" s="1"/>
  <c r="A202" i="4" s="1"/>
  <c r="A203" i="4" s="1"/>
  <c r="A204" i="4" s="1"/>
  <c r="B196" i="4"/>
  <c r="B197" i="4"/>
  <c r="B198" i="4"/>
  <c r="B199" i="4"/>
  <c r="B200" i="4"/>
  <c r="B201" i="4"/>
  <c r="B202" i="4"/>
  <c r="B203" i="4"/>
  <c r="B204" i="4"/>
  <c r="B205" i="4"/>
  <c r="B195" i="4"/>
  <c r="D195" i="4" s="1"/>
  <c r="C167" i="4"/>
  <c r="B167" i="4"/>
  <c r="A168" i="4"/>
  <c r="A169" i="4" s="1"/>
  <c r="B96" i="17" l="1"/>
  <c r="J96" i="17"/>
  <c r="H90" i="17"/>
  <c r="K90" i="17"/>
  <c r="K139" i="17" s="1"/>
  <c r="J90" i="17"/>
  <c r="J139" i="17" s="1"/>
  <c r="J150" i="17" s="1"/>
  <c r="B169" i="4"/>
  <c r="A170" i="4"/>
  <c r="A171" i="4" s="1"/>
  <c r="A172" i="4" s="1"/>
  <c r="A173" i="4" s="1"/>
  <c r="A174" i="4" s="1"/>
  <c r="A175" i="4" s="1"/>
  <c r="A176" i="4" s="1"/>
  <c r="A177" i="4" s="1"/>
  <c r="B177" i="4" s="1"/>
  <c r="F96" i="17"/>
  <c r="F97" i="17"/>
  <c r="G96" i="17"/>
  <c r="G97" i="17"/>
  <c r="D93" i="17"/>
  <c r="B168" i="4"/>
  <c r="B93" i="17"/>
  <c r="I93" i="17"/>
  <c r="C168" i="4"/>
  <c r="C185" i="17"/>
  <c r="C94" i="17"/>
  <c r="C128" i="17"/>
  <c r="C138" i="17" s="1"/>
  <c r="C149" i="17" s="1"/>
  <c r="B205" i="17"/>
  <c r="K210" i="17"/>
  <c r="I210" i="17"/>
  <c r="I221" i="17" s="1"/>
  <c r="J210" i="17"/>
  <c r="J219" i="17" s="1"/>
  <c r="H210" i="17"/>
  <c r="H221" i="17" s="1"/>
  <c r="G210" i="17"/>
  <c r="E96" i="17"/>
  <c r="E97" i="17"/>
  <c r="H96" i="17"/>
  <c r="H97" i="17"/>
  <c r="J93" i="17"/>
  <c r="G90" i="17"/>
  <c r="G139" i="17" s="1"/>
  <c r="G150" i="17" s="1"/>
  <c r="K89" i="17"/>
  <c r="K91" i="17" s="1"/>
  <c r="J137" i="17"/>
  <c r="J89" i="17"/>
  <c r="J91" i="17" s="1"/>
  <c r="H139" i="17"/>
  <c r="H150" i="17" s="1"/>
  <c r="I139" i="17"/>
  <c r="I137" i="17"/>
  <c r="I148" i="17" s="1"/>
  <c r="G89" i="17"/>
  <c r="H89" i="17"/>
  <c r="D91" i="17"/>
  <c r="E90" i="17"/>
  <c r="G148" i="17"/>
  <c r="I89" i="17"/>
  <c r="I91" i="17" s="1"/>
  <c r="F89" i="17"/>
  <c r="C90" i="17"/>
  <c r="B64" i="17"/>
  <c r="B75" i="17"/>
  <c r="C195" i="4"/>
  <c r="C169" i="4"/>
  <c r="A178" i="4"/>
  <c r="B173" i="4"/>
  <c r="C176" i="4"/>
  <c r="B174" i="4"/>
  <c r="B172" i="4"/>
  <c r="C175" i="4"/>
  <c r="B171" i="4"/>
  <c r="C174" i="4"/>
  <c r="B170" i="4"/>
  <c r="C171" i="4" l="1"/>
  <c r="B175" i="4"/>
  <c r="C170" i="4"/>
  <c r="B176" i="4"/>
  <c r="C177" i="4"/>
  <c r="C172" i="4"/>
  <c r="C173" i="4"/>
  <c r="K138" i="17"/>
  <c r="K149" i="17" s="1"/>
  <c r="G221" i="17"/>
  <c r="F93" i="17"/>
  <c r="F128" i="17" s="1"/>
  <c r="J221" i="17"/>
  <c r="I219" i="17"/>
  <c r="K214" i="17"/>
  <c r="K216" i="17"/>
  <c r="K218" i="17"/>
  <c r="K217" i="17"/>
  <c r="K212" i="17"/>
  <c r="K213" i="17"/>
  <c r="K215" i="17"/>
  <c r="K219" i="17"/>
  <c r="K220" i="17"/>
  <c r="H93" i="17"/>
  <c r="D128" i="17"/>
  <c r="D94" i="17"/>
  <c r="D185" i="17"/>
  <c r="K221" i="17"/>
  <c r="C227" i="17"/>
  <c r="C239" i="17"/>
  <c r="C210" i="17"/>
  <c r="C221" i="17" s="1"/>
  <c r="E93" i="17"/>
  <c r="G93" i="17"/>
  <c r="G216" i="17"/>
  <c r="G213" i="17"/>
  <c r="G217" i="17"/>
  <c r="G214" i="17"/>
  <c r="G212" i="17"/>
  <c r="G215" i="17"/>
  <c r="G218" i="17"/>
  <c r="G219" i="17"/>
  <c r="H216" i="17"/>
  <c r="H212" i="17"/>
  <c r="H217" i="17"/>
  <c r="H214" i="17"/>
  <c r="H213" i="17"/>
  <c r="H218" i="17"/>
  <c r="H215" i="17"/>
  <c r="H219" i="17"/>
  <c r="J215" i="17"/>
  <c r="J212" i="17"/>
  <c r="J214" i="17"/>
  <c r="J217" i="17"/>
  <c r="J213" i="17"/>
  <c r="J216" i="17"/>
  <c r="J218" i="17"/>
  <c r="C130" i="17"/>
  <c r="C141" i="17" s="1"/>
  <c r="C131" i="17"/>
  <c r="C142" i="17" s="1"/>
  <c r="C132" i="17"/>
  <c r="C143" i="17" s="1"/>
  <c r="C133" i="17"/>
  <c r="C144" i="17" s="1"/>
  <c r="C134" i="17"/>
  <c r="C145" i="17" s="1"/>
  <c r="C135" i="17"/>
  <c r="C146" i="17" s="1"/>
  <c r="C136" i="17"/>
  <c r="C147" i="17" s="1"/>
  <c r="C137" i="17"/>
  <c r="C148" i="17" s="1"/>
  <c r="B94" i="17"/>
  <c r="B185" i="17" s="1"/>
  <c r="B128" i="17"/>
  <c r="B130" i="17" s="1"/>
  <c r="B141" i="17" s="1"/>
  <c r="I217" i="17"/>
  <c r="I212" i="17"/>
  <c r="I218" i="17"/>
  <c r="I213" i="17"/>
  <c r="I215" i="17"/>
  <c r="I214" i="17"/>
  <c r="I216" i="17"/>
  <c r="J138" i="17"/>
  <c r="J149" i="17" s="1"/>
  <c r="J220" i="17"/>
  <c r="J148" i="17"/>
  <c r="K150" i="17"/>
  <c r="K152" i="17" s="1"/>
  <c r="K151" i="17"/>
  <c r="K153" i="17" s="1"/>
  <c r="F91" i="17"/>
  <c r="H220" i="17"/>
  <c r="H138" i="17"/>
  <c r="H91" i="17"/>
  <c r="I220" i="17"/>
  <c r="I138" i="17"/>
  <c r="I149" i="17" s="1"/>
  <c r="G220" i="17"/>
  <c r="G138" i="17"/>
  <c r="I150" i="17"/>
  <c r="C139" i="17"/>
  <c r="C91" i="17"/>
  <c r="E91" i="17"/>
  <c r="G91" i="17"/>
  <c r="B86" i="17"/>
  <c r="B65" i="17"/>
  <c r="B76" i="17"/>
  <c r="A179" i="4"/>
  <c r="B178" i="4"/>
  <c r="C178" i="4"/>
  <c r="E257" i="4"/>
  <c r="E256" i="4"/>
  <c r="F248" i="4"/>
  <c r="F249" i="4" s="1"/>
  <c r="E248" i="4"/>
  <c r="E249" i="4" s="1"/>
  <c r="F246" i="4"/>
  <c r="E246" i="4"/>
  <c r="F237" i="4"/>
  <c r="G237" i="4" s="1"/>
  <c r="F236" i="4"/>
  <c r="G236" i="4" s="1"/>
  <c r="F235" i="4"/>
  <c r="G235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28" i="4"/>
  <c r="G228" i="4" s="1"/>
  <c r="F185" i="17" l="1"/>
  <c r="F94" i="17"/>
  <c r="K222" i="17"/>
  <c r="K223" i="17" s="1"/>
  <c r="K226" i="17" s="1"/>
  <c r="D239" i="17"/>
  <c r="D227" i="17"/>
  <c r="D210" i="17"/>
  <c r="D130" i="17"/>
  <c r="D131" i="17"/>
  <c r="D142" i="17" s="1"/>
  <c r="D132" i="17"/>
  <c r="D143" i="17" s="1"/>
  <c r="D133" i="17"/>
  <c r="D144" i="17" s="1"/>
  <c r="D134" i="17"/>
  <c r="D145" i="17" s="1"/>
  <c r="D136" i="17"/>
  <c r="D147" i="17" s="1"/>
  <c r="D135" i="17"/>
  <c r="D146" i="17" s="1"/>
  <c r="D137" i="17"/>
  <c r="D148" i="17" s="1"/>
  <c r="D139" i="17"/>
  <c r="D150" i="17" s="1"/>
  <c r="D138" i="17"/>
  <c r="D149" i="17" s="1"/>
  <c r="B239" i="17"/>
  <c r="B227" i="17"/>
  <c r="B210" i="17"/>
  <c r="F131" i="17"/>
  <c r="F142" i="17" s="1"/>
  <c r="F130" i="17"/>
  <c r="F141" i="17" s="1"/>
  <c r="F132" i="17"/>
  <c r="F143" i="17" s="1"/>
  <c r="F133" i="17"/>
  <c r="F144" i="17" s="1"/>
  <c r="F134" i="17"/>
  <c r="F145" i="17" s="1"/>
  <c r="F135" i="17"/>
  <c r="F146" i="17" s="1"/>
  <c r="F136" i="17"/>
  <c r="F147" i="17" s="1"/>
  <c r="F137" i="17"/>
  <c r="F148" i="17" s="1"/>
  <c r="F139" i="17"/>
  <c r="F150" i="17" s="1"/>
  <c r="H222" i="17"/>
  <c r="H223" i="17" s="1"/>
  <c r="H226" i="17" s="1"/>
  <c r="F138" i="17"/>
  <c r="F149" i="17" s="1"/>
  <c r="I222" i="17"/>
  <c r="I223" i="17" s="1"/>
  <c r="I226" i="17" s="1"/>
  <c r="F227" i="17"/>
  <c r="F239" i="17"/>
  <c r="F210" i="17"/>
  <c r="J222" i="17"/>
  <c r="J223" i="17" s="1"/>
  <c r="J226" i="17" s="1"/>
  <c r="E128" i="17"/>
  <c r="E94" i="17"/>
  <c r="E185" i="17"/>
  <c r="G222" i="17"/>
  <c r="G223" i="17" s="1"/>
  <c r="G226" i="17" s="1"/>
  <c r="C212" i="17"/>
  <c r="C215" i="17"/>
  <c r="C216" i="17"/>
  <c r="C217" i="17"/>
  <c r="C213" i="17"/>
  <c r="C214" i="17"/>
  <c r="C219" i="17"/>
  <c r="C218" i="17"/>
  <c r="C220" i="17"/>
  <c r="I152" i="17"/>
  <c r="J152" i="17"/>
  <c r="I151" i="17"/>
  <c r="I153" i="17" s="1"/>
  <c r="K154" i="17"/>
  <c r="J151" i="17"/>
  <c r="J153" i="17" s="1"/>
  <c r="G149" i="17"/>
  <c r="G152" i="17" s="1"/>
  <c r="G151" i="17"/>
  <c r="G153" i="17" s="1"/>
  <c r="H149" i="17"/>
  <c r="H152" i="17" s="1"/>
  <c r="H151" i="17"/>
  <c r="H153" i="17" s="1"/>
  <c r="C150" i="17"/>
  <c r="C152" i="17" s="1"/>
  <c r="C151" i="17"/>
  <c r="C153" i="17" s="1"/>
  <c r="B87" i="17"/>
  <c r="B77" i="17"/>
  <c r="B66" i="17"/>
  <c r="B133" i="17"/>
  <c r="B144" i="17" s="1"/>
  <c r="B131" i="17"/>
  <c r="B142" i="17" s="1"/>
  <c r="B132" i="17"/>
  <c r="B143" i="17" s="1"/>
  <c r="A180" i="4"/>
  <c r="C179" i="4"/>
  <c r="B179" i="4"/>
  <c r="E250" i="4"/>
  <c r="F250" i="4"/>
  <c r="D66" i="1"/>
  <c r="D60" i="1"/>
  <c r="L50" i="1"/>
  <c r="L59" i="1" s="1"/>
  <c r="R26" i="1"/>
  <c r="R25" i="1"/>
  <c r="T14" i="1"/>
  <c r="V13" i="1"/>
  <c r="R68" i="1"/>
  <c r="R67" i="1"/>
  <c r="R65" i="1"/>
  <c r="R64" i="1"/>
  <c r="W50" i="1"/>
  <c r="I27" i="16"/>
  <c r="H27" i="16"/>
  <c r="G27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G26" i="16"/>
  <c r="G25" i="16"/>
  <c r="G24" i="16"/>
  <c r="G23" i="16"/>
  <c r="G22" i="16"/>
  <c r="G21" i="16"/>
  <c r="G20" i="16"/>
  <c r="G19" i="16"/>
  <c r="G18" i="16"/>
  <c r="G17" i="16"/>
  <c r="C28" i="16"/>
  <c r="L20" i="16"/>
  <c r="L21" i="16"/>
  <c r="L22" i="16"/>
  <c r="L19" i="16"/>
  <c r="N20" i="16"/>
  <c r="O20" i="16"/>
  <c r="M21" i="16"/>
  <c r="N21" i="16"/>
  <c r="O21" i="16"/>
  <c r="M22" i="16"/>
  <c r="N22" i="16"/>
  <c r="O22" i="16"/>
  <c r="N19" i="16"/>
  <c r="O19" i="16"/>
  <c r="M19" i="16"/>
  <c r="C53" i="16"/>
  <c r="I52" i="16"/>
  <c r="H52" i="16"/>
  <c r="G52" i="16"/>
  <c r="I50" i="16"/>
  <c r="H50" i="16"/>
  <c r="G50" i="16"/>
  <c r="I47" i="16"/>
  <c r="H47" i="16"/>
  <c r="G47" i="16"/>
  <c r="I46" i="16"/>
  <c r="H46" i="16"/>
  <c r="G46" i="16"/>
  <c r="L18" i="16"/>
  <c r="L24" i="16"/>
  <c r="L25" i="16"/>
  <c r="L26" i="16"/>
  <c r="L27" i="16"/>
  <c r="L17" i="16"/>
  <c r="M18" i="16"/>
  <c r="N18" i="16"/>
  <c r="O18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N17" i="16"/>
  <c r="O17" i="16"/>
  <c r="M17" i="16"/>
  <c r="I98" i="1"/>
  <c r="J98" i="1" s="1"/>
  <c r="I97" i="1"/>
  <c r="J97" i="1" s="1"/>
  <c r="F67" i="1"/>
  <c r="F64" i="1"/>
  <c r="F100" i="1"/>
  <c r="F68" i="1"/>
  <c r="F65" i="1"/>
  <c r="H14" i="1"/>
  <c r="H15" i="1" s="1"/>
  <c r="H22" i="1"/>
  <c r="J32" i="1"/>
  <c r="J33" i="1"/>
  <c r="J34" i="1"/>
  <c r="J35" i="1"/>
  <c r="J36" i="1"/>
  <c r="J37" i="1"/>
  <c r="J38" i="1"/>
  <c r="J39" i="1"/>
  <c r="J40" i="1"/>
  <c r="J13" i="1"/>
  <c r="F43" i="1"/>
  <c r="F42" i="1"/>
  <c r="F26" i="1"/>
  <c r="F25" i="1"/>
  <c r="F152" i="17" l="1"/>
  <c r="C222" i="17"/>
  <c r="C223" i="17" s="1"/>
  <c r="C226" i="17" s="1"/>
  <c r="F151" i="17"/>
  <c r="F153" i="17" s="1"/>
  <c r="B212" i="17"/>
  <c r="B213" i="17"/>
  <c r="B214" i="17"/>
  <c r="B216" i="17"/>
  <c r="B215" i="17"/>
  <c r="B218" i="17"/>
  <c r="E239" i="17"/>
  <c r="E227" i="17"/>
  <c r="E210" i="17"/>
  <c r="D141" i="17"/>
  <c r="D152" i="17" s="1"/>
  <c r="D151" i="17"/>
  <c r="D153" i="17" s="1"/>
  <c r="D218" i="17"/>
  <c r="D217" i="17"/>
  <c r="D216" i="17"/>
  <c r="D215" i="17"/>
  <c r="D214" i="17"/>
  <c r="D213" i="17"/>
  <c r="D212" i="17"/>
  <c r="D219" i="17"/>
  <c r="D221" i="17"/>
  <c r="D220" i="17"/>
  <c r="E131" i="17"/>
  <c r="E142" i="17" s="1"/>
  <c r="E130" i="17"/>
  <c r="E132" i="17"/>
  <c r="E143" i="17" s="1"/>
  <c r="E133" i="17"/>
  <c r="E144" i="17" s="1"/>
  <c r="E134" i="17"/>
  <c r="E145" i="17" s="1"/>
  <c r="E135" i="17"/>
  <c r="E146" i="17" s="1"/>
  <c r="E136" i="17"/>
  <c r="E147" i="17" s="1"/>
  <c r="E137" i="17"/>
  <c r="E148" i="17" s="1"/>
  <c r="E138" i="17"/>
  <c r="E149" i="17" s="1"/>
  <c r="E139" i="17"/>
  <c r="E150" i="17" s="1"/>
  <c r="F217" i="17"/>
  <c r="F214" i="17"/>
  <c r="F216" i="17"/>
  <c r="F218" i="17"/>
  <c r="F213" i="17"/>
  <c r="F212" i="17"/>
  <c r="F215" i="17"/>
  <c r="F219" i="17"/>
  <c r="F221" i="17"/>
  <c r="F220" i="17"/>
  <c r="B217" i="17"/>
  <c r="I154" i="17"/>
  <c r="J154" i="17"/>
  <c r="C154" i="17"/>
  <c r="G154" i="17"/>
  <c r="H154" i="17"/>
  <c r="B78" i="17"/>
  <c r="B67" i="17"/>
  <c r="B79" i="17" s="1"/>
  <c r="B88" i="17"/>
  <c r="B219" i="17" s="1"/>
  <c r="B134" i="17"/>
  <c r="B145" i="17" s="1"/>
  <c r="P26" i="16"/>
  <c r="P24" i="16"/>
  <c r="P19" i="16"/>
  <c r="K64" i="1"/>
  <c r="D77" i="1" s="1"/>
  <c r="C77" i="1"/>
  <c r="T15" i="1"/>
  <c r="U15" i="1" s="1"/>
  <c r="V15" i="1" s="1"/>
  <c r="U14" i="1"/>
  <c r="V14" i="1" s="1"/>
  <c r="G28" i="16"/>
  <c r="D28" i="16" s="1"/>
  <c r="I28" i="16"/>
  <c r="F28" i="16" s="1"/>
  <c r="H28" i="16"/>
  <c r="E28" i="16" s="1"/>
  <c r="Q22" i="16"/>
  <c r="P20" i="16"/>
  <c r="P21" i="16"/>
  <c r="P22" i="16"/>
  <c r="P17" i="16"/>
  <c r="P27" i="16"/>
  <c r="Q19" i="16"/>
  <c r="R25" i="16"/>
  <c r="P25" i="16"/>
  <c r="P23" i="16"/>
  <c r="P18" i="16"/>
  <c r="A181" i="4"/>
  <c r="C180" i="4"/>
  <c r="B180" i="4"/>
  <c r="F99" i="1"/>
  <c r="I53" i="16"/>
  <c r="F53" i="16" s="1"/>
  <c r="R20" i="16"/>
  <c r="Q20" i="16"/>
  <c r="R19" i="16"/>
  <c r="G53" i="16"/>
  <c r="D53" i="16" s="1"/>
  <c r="R22" i="16"/>
  <c r="H53" i="16"/>
  <c r="E53" i="16" s="1"/>
  <c r="Q24" i="16"/>
  <c r="R23" i="16"/>
  <c r="Q21" i="16"/>
  <c r="Q18" i="16"/>
  <c r="Q23" i="16"/>
  <c r="Q27" i="16"/>
  <c r="R21" i="16"/>
  <c r="R27" i="16"/>
  <c r="R26" i="16"/>
  <c r="Q26" i="16"/>
  <c r="R18" i="16"/>
  <c r="Q25" i="16"/>
  <c r="R24" i="16"/>
  <c r="R17" i="16"/>
  <c r="Q17" i="16"/>
  <c r="L28" i="16"/>
  <c r="H40" i="1"/>
  <c r="T50" i="1" s="1"/>
  <c r="J31" i="1"/>
  <c r="H16" i="1"/>
  <c r="H17" i="1" s="1"/>
  <c r="H18" i="1" s="1"/>
  <c r="H19" i="1" s="1"/>
  <c r="H20" i="1" s="1"/>
  <c r="H21" i="1" s="1"/>
  <c r="H31" i="1"/>
  <c r="H32" i="1" s="1"/>
  <c r="H33" i="1" s="1"/>
  <c r="H34" i="1" s="1"/>
  <c r="H35" i="1" s="1"/>
  <c r="H36" i="1" s="1"/>
  <c r="H37" i="1" s="1"/>
  <c r="H38" i="1" s="1"/>
  <c r="H39" i="1" s="1"/>
  <c r="D24" i="1"/>
  <c r="F222" i="17" l="1"/>
  <c r="F223" i="17" s="1"/>
  <c r="F226" i="17" s="1"/>
  <c r="F154" i="17"/>
  <c r="E217" i="17"/>
  <c r="E214" i="17"/>
  <c r="E218" i="17"/>
  <c r="E213" i="17"/>
  <c r="E212" i="17"/>
  <c r="E216" i="17"/>
  <c r="E215" i="17"/>
  <c r="E219" i="17"/>
  <c r="E220" i="17"/>
  <c r="E221" i="17"/>
  <c r="E141" i="17"/>
  <c r="E152" i="17" s="1"/>
  <c r="E151" i="17"/>
  <c r="E153" i="17" s="1"/>
  <c r="T16" i="1"/>
  <c r="U16" i="1" s="1"/>
  <c r="V16" i="1" s="1"/>
  <c r="D222" i="17"/>
  <c r="D223" i="17" s="1"/>
  <c r="D226" i="17" s="1"/>
  <c r="D154" i="17"/>
  <c r="B89" i="17"/>
  <c r="B220" i="17" s="1"/>
  <c r="B90" i="17"/>
  <c r="B221" i="17" s="1"/>
  <c r="B135" i="17"/>
  <c r="B146" i="17" s="1"/>
  <c r="Q28" i="16"/>
  <c r="N28" i="16" s="1"/>
  <c r="K67" i="1"/>
  <c r="D80" i="1" s="1"/>
  <c r="C80" i="1"/>
  <c r="R28" i="16"/>
  <c r="O28" i="16" s="1"/>
  <c r="P28" i="16"/>
  <c r="M28" i="16" s="1"/>
  <c r="A182" i="4"/>
  <c r="C181" i="4"/>
  <c r="B181" i="4"/>
  <c r="I88" i="1"/>
  <c r="J88" i="1" s="1"/>
  <c r="H50" i="1"/>
  <c r="K51" i="1" s="1"/>
  <c r="H88" i="1"/>
  <c r="I15" i="1"/>
  <c r="J15" i="1" s="1"/>
  <c r="I14" i="1"/>
  <c r="J14" i="1" s="1"/>
  <c r="I16" i="1"/>
  <c r="J16" i="1" s="1"/>
  <c r="I17" i="1"/>
  <c r="J17" i="1" s="1"/>
  <c r="I18" i="1"/>
  <c r="J18" i="1" s="1"/>
  <c r="I22" i="1"/>
  <c r="J22" i="1" s="1"/>
  <c r="I19" i="1"/>
  <c r="J19" i="1" s="1"/>
  <c r="I20" i="1"/>
  <c r="J20" i="1" s="1"/>
  <c r="I21" i="1"/>
  <c r="J21" i="1" s="1"/>
  <c r="E222" i="17" l="1"/>
  <c r="E223" i="17" s="1"/>
  <c r="E226" i="17" s="1"/>
  <c r="E154" i="17"/>
  <c r="T17" i="1"/>
  <c r="B222" i="17"/>
  <c r="B91" i="17"/>
  <c r="B139" i="17"/>
  <c r="B150" i="17" s="1"/>
  <c r="B136" i="17"/>
  <c r="B147" i="17" s="1"/>
  <c r="T18" i="1"/>
  <c r="U18" i="1" s="1"/>
  <c r="V18" i="1" s="1"/>
  <c r="U17" i="1"/>
  <c r="V17" i="1" s="1"/>
  <c r="A183" i="4"/>
  <c r="C182" i="4"/>
  <c r="B182" i="4"/>
  <c r="H58" i="1"/>
  <c r="T58" i="1"/>
  <c r="U50" i="1"/>
  <c r="V50" i="1" s="1"/>
  <c r="I50" i="1"/>
  <c r="D61" i="1" s="1"/>
  <c r="K50" i="1" s="1"/>
  <c r="H89" i="1"/>
  <c r="H90" i="1" s="1"/>
  <c r="H91" i="1" s="1"/>
  <c r="H92" i="1" s="1"/>
  <c r="H93" i="1" s="1"/>
  <c r="H94" i="1" s="1"/>
  <c r="H95" i="1" s="1"/>
  <c r="H96" i="1" s="1"/>
  <c r="H97" i="1"/>
  <c r="B223" i="17" l="1"/>
  <c r="B226" i="17" s="1"/>
  <c r="B137" i="17"/>
  <c r="B148" i="17" s="1"/>
  <c r="A184" i="4"/>
  <c r="B183" i="4"/>
  <c r="C183" i="4"/>
  <c r="H51" i="1"/>
  <c r="K52" i="1" s="1"/>
  <c r="K58" i="1"/>
  <c r="K59" i="1" s="1"/>
  <c r="J50" i="1"/>
  <c r="T19" i="1"/>
  <c r="U19" i="1" s="1"/>
  <c r="V19" i="1" s="1"/>
  <c r="U58" i="1"/>
  <c r="V58" i="1" s="1"/>
  <c r="T51" i="1"/>
  <c r="U51" i="1" s="1"/>
  <c r="V51" i="1" s="1"/>
  <c r="T59" i="1"/>
  <c r="U59" i="1" s="1"/>
  <c r="V59" i="1" s="1"/>
  <c r="H59" i="1"/>
  <c r="I59" i="1" s="1"/>
  <c r="J59" i="1" s="1"/>
  <c r="I58" i="1"/>
  <c r="J58" i="1" s="1"/>
  <c r="I96" i="1"/>
  <c r="J96" i="1" s="1"/>
  <c r="H98" i="1"/>
  <c r="I89" i="1"/>
  <c r="J89" i="1" s="1"/>
  <c r="I94" i="1"/>
  <c r="J94" i="1" s="1"/>
  <c r="I90" i="1"/>
  <c r="J90" i="1" s="1"/>
  <c r="I91" i="1"/>
  <c r="J91" i="1" s="1"/>
  <c r="I92" i="1"/>
  <c r="J92" i="1" s="1"/>
  <c r="I93" i="1"/>
  <c r="J93" i="1" s="1"/>
  <c r="I95" i="1"/>
  <c r="J95" i="1" s="1"/>
  <c r="B138" i="17" l="1"/>
  <c r="B149" i="17" s="1"/>
  <c r="I65" i="1"/>
  <c r="I68" i="1" s="1"/>
  <c r="A185" i="4"/>
  <c r="B184" i="4"/>
  <c r="C184" i="4"/>
  <c r="T52" i="1"/>
  <c r="U52" i="1" s="1"/>
  <c r="V52" i="1" s="1"/>
  <c r="L58" i="1"/>
  <c r="T20" i="1"/>
  <c r="U20" i="1" s="1"/>
  <c r="V20" i="1" s="1"/>
  <c r="H52" i="1"/>
  <c r="K53" i="1" s="1"/>
  <c r="I51" i="1"/>
  <c r="B151" i="17" l="1"/>
  <c r="B153" i="17" s="1"/>
  <c r="B152" i="17"/>
  <c r="C78" i="1"/>
  <c r="A186" i="4"/>
  <c r="B185" i="4"/>
  <c r="C185" i="4"/>
  <c r="T53" i="1"/>
  <c r="T54" i="1" s="1"/>
  <c r="U54" i="1" s="1"/>
  <c r="V54" i="1" s="1"/>
  <c r="J51" i="1"/>
  <c r="L52" i="1"/>
  <c r="T21" i="1"/>
  <c r="U21" i="1" s="1"/>
  <c r="V21" i="1" s="1"/>
  <c r="H53" i="1"/>
  <c r="K54" i="1" s="1"/>
  <c r="I52" i="1"/>
  <c r="B154" i="17" l="1"/>
  <c r="A187" i="4"/>
  <c r="B187" i="4" s="1"/>
  <c r="B186" i="4"/>
  <c r="C186" i="4"/>
  <c r="T55" i="1"/>
  <c r="T56" i="1" s="1"/>
  <c r="U53" i="1"/>
  <c r="V53" i="1" s="1"/>
  <c r="J52" i="1"/>
  <c r="L53" i="1"/>
  <c r="H54" i="1"/>
  <c r="K55" i="1" s="1"/>
  <c r="I53" i="1"/>
  <c r="U55" i="1" l="1"/>
  <c r="V55" i="1" s="1"/>
  <c r="J53" i="1"/>
  <c r="L54" i="1"/>
  <c r="U56" i="1"/>
  <c r="V56" i="1" s="1"/>
  <c r="T57" i="1"/>
  <c r="U57" i="1" s="1"/>
  <c r="V57" i="1" s="1"/>
  <c r="H55" i="1"/>
  <c r="K56" i="1" s="1"/>
  <c r="I54" i="1"/>
  <c r="J54" i="1" l="1"/>
  <c r="L55" i="1"/>
  <c r="H56" i="1"/>
  <c r="I55" i="1"/>
  <c r="H57" i="1" l="1"/>
  <c r="K57" i="1"/>
  <c r="J55" i="1"/>
  <c r="L56" i="1"/>
  <c r="I56" i="1"/>
  <c r="J56" i="1" l="1"/>
  <c r="L57" i="1"/>
  <c r="I57" i="1"/>
  <c r="J57" i="1" s="1"/>
  <c r="K65" i="1"/>
  <c r="I66" i="1"/>
  <c r="C81" i="1"/>
  <c r="K68" i="1" l="1"/>
  <c r="D78" i="1"/>
  <c r="K66" i="1"/>
  <c r="D79" i="1" s="1"/>
  <c r="C79" i="1"/>
  <c r="L60" i="1" l="1"/>
  <c r="D81" i="1"/>
  <c r="D196" i="4" l="1"/>
  <c r="C196" i="4"/>
  <c r="C197" i="4"/>
  <c r="D197" i="4" l="1"/>
  <c r="C198" i="4" l="1"/>
  <c r="D198" i="4"/>
  <c r="D199" i="4" l="1"/>
  <c r="C199" i="4"/>
  <c r="C200" i="4" l="1"/>
  <c r="D200" i="4"/>
  <c r="D201" i="4" l="1"/>
  <c r="C201" i="4"/>
  <c r="D202" i="4" l="1"/>
  <c r="C202" i="4"/>
  <c r="D203" i="4" l="1"/>
  <c r="C203" i="4"/>
  <c r="D204" i="4" l="1"/>
  <c r="C204" i="4"/>
  <c r="C205" i="4" l="1"/>
  <c r="D205" i="4"/>
  <c r="N46" i="16"/>
  <c r="N51" i="16" s="1"/>
  <c r="L51" i="16" s="1"/>
  <c r="N4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Archimedean2345</author>
  </authors>
  <commentList>
    <comment ref="F2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Archimedean2345:</t>
        </r>
        <r>
          <rPr>
            <sz val="9"/>
            <color indexed="81"/>
            <rFont val="Tahoma"/>
            <family val="2"/>
          </rPr>
          <t xml:space="preserve">
Es el inverso de la ecuacacion no. 1.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Leonardo Valadez Ortiz</author>
  </authors>
  <commentList>
    <comment ref="A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Juan Leonardo Valadez Ortiz:</t>
        </r>
        <r>
          <rPr>
            <sz val="9"/>
            <color indexed="81"/>
            <rFont val="Tahoma"/>
            <family val="2"/>
          </rPr>
          <t xml:space="preserve">
Slimness "delgadez" que tan delgado es el cohete en relación a su largo</t>
        </r>
      </text>
    </comment>
    <comment ref="A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Juan Leonardo Valadez Ortiz:</t>
        </r>
        <r>
          <rPr>
            <sz val="9"/>
            <color indexed="81"/>
            <rFont val="Tahoma"/>
            <family val="2"/>
          </rPr>
          <t xml:space="preserve">
F=ma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Archimedean2345</author>
  </authors>
  <commentList>
    <comment ref="T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Archimedean2345:</t>
        </r>
        <r>
          <rPr>
            <sz val="9"/>
            <color indexed="81"/>
            <rFont val="Tahoma"/>
            <family val="2"/>
          </rPr>
          <t xml:space="preserve">
Ixx= Σm(y^2 + z^2)
Iyy= Σm(x^2 + z^2)
Izz= Σm(x^2 + y^2)
Ixy= Iyx= Σmxy
Ixz= Izx= Σmxz
Iyz= Izy= Σmyz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Valadez Ortiz</author>
  </authors>
  <commentList>
    <comment ref="A17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Leonardo Valadez Ortiz:</t>
        </r>
        <r>
          <rPr>
            <sz val="9"/>
            <color indexed="81"/>
            <rFont val="Tahoma"/>
            <family val="2"/>
          </rPr>
          <t xml:space="preserve">
Reynolds &gt; viscosity
Mach &gt; compressibility</t>
        </r>
      </text>
    </comment>
  </commentList>
</comments>
</file>

<file path=xl/sharedStrings.xml><?xml version="1.0" encoding="utf-8"?>
<sst xmlns="http://schemas.openxmlformats.org/spreadsheetml/2006/main" count="881" uniqueCount="561">
  <si>
    <t>Overview</t>
  </si>
  <si>
    <t>Nomenclature</t>
  </si>
  <si>
    <t>α(alpha)= Angle of attack (radians or degrees)</t>
  </si>
  <si>
    <t>β(beta)= subsonic or supersonic similarity parameter</t>
  </si>
  <si>
    <t>𝛿∗(delta) = (displacement) thickness of the boundary layer (m)</t>
  </si>
  <si>
    <t>θ= Pitch angle (radians)</t>
  </si>
  <si>
    <t>θdot= Pitch rate (radians/second). The dot is Newton’s notation for time rate of change.</t>
  </si>
  <si>
    <t>Φ= Climb angle (also known as flight path angle or trajectory angle), (radians)</t>
  </si>
  <si>
    <t>ρ = Atmospheric density (kg/m3)</t>
  </si>
  <si>
    <t>A = Acceleration (m/sec2)</t>
  </si>
  <si>
    <t>C_A= axial force coefficient (dimensionless)</t>
  </si>
  <si>
    <t>C_C centroid of planform area coefficient (2Xp / L)</t>
  </si>
  <si>
    <t>C_D = Drag coefficient (dimensionless)</t>
  </si>
  <si>
    <t>C_F = mean skin-friction coefficient (dimensionless)</t>
  </si>
  <si>
    <t>C_H = damping moment (dimensionless)</t>
  </si>
  <si>
    <t>C_L = Lift coefficient (dimensionless)</t>
  </si>
  <si>
    <t>C_M = (pitching) moment coefficient (dimensionless)</t>
  </si>
  <si>
    <t>C_Malpha = gradient of the pitching moment coefficient curve</t>
  </si>
  <si>
    <t>C_N= Normal force coefficient (dimensionless)</t>
  </si>
  <si>
    <t>C_Nalpha=Gradient of Normal force coefficient per radian angle of attack (1/radian)</t>
  </si>
  <si>
    <t>C_NC= lift contribution from the ‘cross flow’ around the circumference</t>
  </si>
  <si>
    <t>C_P =planform area coefficient (Sp/dL), or alternatively, = pressure coefficient</t>
  </si>
  <si>
    <t>C_R = root chord length (m)</t>
  </si>
  <si>
    <t>C_T = tip chord length (m)</t>
  </si>
  <si>
    <t>d = Diameter of (thickest part of) the fuselage (m)</t>
  </si>
  <si>
    <t>d_R = boat-tail smaller diameter (m)</t>
  </si>
  <si>
    <t>I = moment of inertia (kgm2)</t>
  </si>
  <si>
    <t>L = overall length of the vehicle (m)</t>
  </si>
  <si>
    <t>L_C = length of cylindrical portion of forebody (m)</t>
  </si>
  <si>
    <t>L_F = length of fin midchord (m)</t>
  </si>
  <si>
    <t>L_N = length of the nosecone (m)</t>
  </si>
  <si>
    <t>L_T = boat-tail length (m)</t>
  </si>
  <si>
    <t>m = mass (kg)</t>
  </si>
  <si>
    <t>M = moment (Nm)</t>
  </si>
  <si>
    <t>N = normal force (N)</t>
  </si>
  <si>
    <t>n = number of fins (3 or 4)</t>
  </si>
  <si>
    <t>q = dynamic pressure (Nm2)</t>
  </si>
  <si>
    <t>r = fuselage radius (m)</t>
  </si>
  <si>
    <t>S = Cross-sectional area of (thickest part of) the fuselage (m2)</t>
  </si>
  <si>
    <t>s = fin semi-span (root chord to tip chord) or net semi span (m)</t>
  </si>
  <si>
    <t>S_p = planform area (m2)</t>
  </si>
  <si>
    <t>V = Velocity (m/sec)</t>
  </si>
  <si>
    <t>X = centre of pressure position (m)</t>
  </si>
  <si>
    <t>X_p = centroid of planform area (m)</t>
  </si>
  <si>
    <t>Titulo:</t>
  </si>
  <si>
    <t>"Numeroc critico de Mach"</t>
  </si>
  <si>
    <t>RPT</t>
  </si>
  <si>
    <t>RPT 1.1</t>
  </si>
  <si>
    <t>Pagina:</t>
  </si>
  <si>
    <t>de</t>
  </si>
  <si>
    <t>Realizo:</t>
  </si>
  <si>
    <t xml:space="preserve">Leonardo Valadez </t>
  </si>
  <si>
    <t>Edito:</t>
  </si>
  <si>
    <t>Creación:</t>
  </si>
  <si>
    <t>30 dic 2024</t>
  </si>
  <si>
    <t>Edición:</t>
  </si>
  <si>
    <t>Referencias:</t>
  </si>
  <si>
    <t>(Fundamentals of Aerodynamics pp. 755)</t>
  </si>
  <si>
    <t>Objetivo: entender el transfondo teorico del numero critico de Mach y como afecta en el comprotamiento de</t>
  </si>
  <si>
    <t>vehiculo en movimiento</t>
  </si>
  <si>
    <r>
      <t xml:space="preserve">El flujo </t>
    </r>
    <r>
      <rPr>
        <i/>
        <sz val="10"/>
        <color theme="1"/>
        <rFont val="Time"/>
      </rPr>
      <t>transonico</t>
    </r>
    <r>
      <rPr>
        <sz val="10"/>
        <color theme="1"/>
        <rFont val="Time"/>
      </rPr>
      <t xml:space="preserve"> es aquel que sucede entre 0.8 &lt; Mach &lt; 1.2 donde el flujo libre a pesar de no encontrarse como sonico</t>
    </r>
  </si>
  <si>
    <t>puede ocasionar ondas de choque</t>
  </si>
  <si>
    <t>Consideremos un perfil alar en un flujo a baja velocidad, M= 0.3.</t>
  </si>
  <si>
    <t>La particula de aire al pasar por la zona superior, el numero M local</t>
  </si>
  <si>
    <r>
      <t xml:space="preserve">aumenta. En el punto </t>
    </r>
    <r>
      <rPr>
        <i/>
        <sz val="10"/>
        <color theme="1"/>
        <rFont val="Time"/>
      </rPr>
      <t>A</t>
    </r>
    <r>
      <rPr>
        <sz val="10"/>
        <color theme="1"/>
        <rFont val="Time"/>
      </rPr>
      <t xml:space="preserve"> suponiendo un numero de 0.435 ira</t>
    </r>
  </si>
  <si>
    <t>aumentando conforme el numero de Mach del flujo aumente, hasta</t>
  </si>
  <si>
    <t>llegar al numero de Mach critico, en este ejemplo siendo M=0.61.</t>
  </si>
  <si>
    <t>La siguiente grafica muesta la comparativa en donde los coeficientes</t>
  </si>
  <si>
    <t>de presion que sean calculados a lo largo de la superficie del perfil,</t>
  </si>
  <si>
    <t>al ser graficados y comparados contra los coeficientes debido al mach</t>
  </si>
  <si>
    <t>critico, hay un punto en donde intersectan, siendo este el Mcritico.</t>
  </si>
  <si>
    <r>
      <t xml:space="preserve">Para el coeficiente de presion, </t>
    </r>
    <r>
      <rPr>
        <i/>
        <sz val="10"/>
        <color theme="1"/>
        <rFont val="Time"/>
      </rPr>
      <t>Cp0</t>
    </r>
    <r>
      <rPr>
        <sz val="10"/>
        <color theme="1"/>
        <rFont val="Time"/>
      </rPr>
      <t xml:space="preserve"> se puede estimar mediante CFD o analisis de flujo potencial.</t>
    </r>
  </si>
  <si>
    <t>De Karman-Tsien, la correcion para el Cp0 en fluido compresible:</t>
  </si>
  <si>
    <t>Para la obtencion del numero de Mach critico:</t>
  </si>
  <si>
    <t>"Numero critico de Mach"</t>
  </si>
  <si>
    <t>23-dic-2024</t>
  </si>
  <si>
    <t>Tabulacion de numero critico de Mach para 0.5 &lt; M &lt; 1.5</t>
  </si>
  <si>
    <t>Cp0,minP</t>
  </si>
  <si>
    <t>Mach</t>
  </si>
  <si>
    <t>Cp,cr</t>
  </si>
  <si>
    <t>Cp</t>
  </si>
  <si>
    <t>For a flat plate we can assume thin airfoil theory were the upper surface experience higher velocity V&gt;Vstream</t>
  </si>
  <si>
    <t>and the lower surface experience a lower velocity V&lt;Vstream, for a 1 meter chord length flat pate, at V=100 m/s at different</t>
  </si>
  <si>
    <t>AoA we have this distribution</t>
  </si>
  <si>
    <t>AoA</t>
  </si>
  <si>
    <t>c location</t>
  </si>
  <si>
    <t>Cp upper</t>
  </si>
  <si>
    <t>Cp lower</t>
  </si>
  <si>
    <t xml:space="preserve"> </t>
  </si>
  <si>
    <t>"Fluido compresible"</t>
  </si>
  <si>
    <t>Objetivo: demostrar la importancia de la inclusion en la hoja de datos la variabilidad de parametros</t>
  </si>
  <si>
    <t xml:space="preserve"> termodinamicos como la densidad a regimenes transonicos, subsonicos y supersonicos.</t>
  </si>
  <si>
    <t xml:space="preserve">Partiendo de que un fluido en reposo cuenta con cierta densidad, a nivel del mar podemos establecer una </t>
  </si>
  <si>
    <t xml:space="preserve">densidad de  1.225 kg/m^3. Si aceleramos este fluido por algun dispositivo como una tobera aceleradora </t>
  </si>
  <si>
    <t>a cierta Velocidad (V)  y cierto numero de Mach (M) la densidad cambiara de acuerdo a la siguiente ecuación.</t>
  </si>
  <si>
    <t>Eq. 1</t>
  </si>
  <si>
    <t>Donde si graficamos los resultados observaremos</t>
  </si>
  <si>
    <t>que hay un cambio mas drastico a partir de 0.3 Mach.</t>
  </si>
  <si>
    <t>M</t>
  </si>
  <si>
    <t>ρ/ρ0</t>
  </si>
  <si>
    <t>Error %</t>
  </si>
  <si>
    <t xml:space="preserve">Un eror de mas del 5% ya no es </t>
  </si>
  <si>
    <t xml:space="preserve">permisible  para un analisis donde la </t>
  </si>
  <si>
    <t>magnitud de la densidad es importante.</t>
  </si>
  <si>
    <t xml:space="preserve">Reforzando mas la importancia de este </t>
  </si>
  <si>
    <t xml:space="preserve">concepto, un analisis para un fluido </t>
  </si>
  <si>
    <t>incompresible realmente es un mito.</t>
  </si>
  <si>
    <t>A partir de los siguientes dos metodos</t>
  </si>
  <si>
    <t>de analisis reforzaremos este concepto.</t>
  </si>
  <si>
    <t>Eq de Bernoullis</t>
  </si>
  <si>
    <t xml:space="preserve">Para una P0 atmosferica de 101,325 Pa, velocidadades de 80 m/s y 300 m/s y </t>
  </si>
  <si>
    <t xml:space="preserve">una temperatura a nivel del mar estandar de 15 grados celisus (288.15K) </t>
  </si>
  <si>
    <t>determinaremos la varianza a dos velocidades distintas.</t>
  </si>
  <si>
    <t>Analisis con Bernoulli</t>
  </si>
  <si>
    <t>Analisis de fluido</t>
  </si>
  <si>
    <t>Velocidad</t>
  </si>
  <si>
    <t>m/s</t>
  </si>
  <si>
    <t>compresible</t>
  </si>
  <si>
    <t>Temperatura</t>
  </si>
  <si>
    <t>K</t>
  </si>
  <si>
    <t>Presion</t>
  </si>
  <si>
    <t>Pa</t>
  </si>
  <si>
    <t>Ecuacion de energia</t>
  </si>
  <si>
    <t>Analisis con fluido compresible</t>
  </si>
  <si>
    <t xml:space="preserve">para punto de </t>
  </si>
  <si>
    <t>estancamiento</t>
  </si>
  <si>
    <t>% desviacion</t>
  </si>
  <si>
    <t>El error es tan grande cuando tus velocidades ya son cercanas o superiores a la velocidad del</t>
  </si>
  <si>
    <t>sonido, para una velocidad del sonido al nivel del mar de 330 m/s tenemos que</t>
  </si>
  <si>
    <t>V1</t>
  </si>
  <si>
    <t>80 m/s</t>
  </si>
  <si>
    <t>V2</t>
  </si>
  <si>
    <t>300 m/s</t>
  </si>
  <si>
    <t>"CFD en flujo compresible"</t>
  </si>
  <si>
    <t>RPT 2</t>
  </si>
  <si>
    <t>Chapter 4: Modeling External Compressible Flow</t>
  </si>
  <si>
    <t>https://innovationspace.ansys.com/product/aerodynamics-of-a-rocket-using-ansys-fluent/</t>
  </si>
  <si>
    <t xml:space="preserve">Objetivo: utilizar la herramienta ANSYS Fluent para analisis de fluido compresible en regimen </t>
  </si>
  <si>
    <t>subsonico-transonico para evaluar geometrias del cohete.</t>
  </si>
  <si>
    <t xml:space="preserve">Nombre de conete </t>
  </si>
  <si>
    <t>Sherpa</t>
  </si>
  <si>
    <t>AgniAstra</t>
  </si>
  <si>
    <t>Anduril‑1</t>
  </si>
  <si>
    <t>Xenia‑2</t>
  </si>
  <si>
    <t>MVP‑1</t>
  </si>
  <si>
    <t>Lakshya</t>
  </si>
  <si>
    <t>AR‑1 with LAYANG‑1</t>
  </si>
  <si>
    <t>H‑7</t>
  </si>
  <si>
    <t>MMR‑06</t>
  </si>
  <si>
    <t>RH‑75</t>
  </si>
  <si>
    <t>Promedio</t>
  </si>
  <si>
    <t xml:space="preserve">Moda </t>
  </si>
  <si>
    <t>Mediana</t>
  </si>
  <si>
    <t>Desviacion 1</t>
  </si>
  <si>
    <t>Desviacion 2</t>
  </si>
  <si>
    <t>Desviacion 3</t>
  </si>
  <si>
    <t>Desviacion 4</t>
  </si>
  <si>
    <t>Desviacion 5</t>
  </si>
  <si>
    <t>Desviacion 6</t>
  </si>
  <si>
    <t>Desviacion 7</t>
  </si>
  <si>
    <t>Desviacion 8</t>
  </si>
  <si>
    <t>Desviacion 9</t>
  </si>
  <si>
    <t>Desviacion 10</t>
  </si>
  <si>
    <t>Minimo</t>
  </si>
  <si>
    <t>Maximo</t>
  </si>
  <si>
    <t>Diferencia</t>
  </si>
  <si>
    <t>Largo (m)</t>
  </si>
  <si>
    <t>Masa En seco (kg)</t>
  </si>
  <si>
    <t>Masa Total (kg)</t>
  </si>
  <si>
    <t>Masa Carga Util (kg)</t>
  </si>
  <si>
    <t>Impulso Total (Ns)</t>
  </si>
  <si>
    <t>Empuje Maximo (N)</t>
  </si>
  <si>
    <t>Aceleracion Maxima (m/s)</t>
  </si>
  <si>
    <t>22.73 G</t>
  </si>
  <si>
    <t>Velocidad Maxima  (m/s)</t>
  </si>
  <si>
    <t>Diametro (cm)</t>
  </si>
  <si>
    <t>L/D</t>
  </si>
  <si>
    <t>Isp (sec)</t>
  </si>
  <si>
    <t>Acc max. (m/s2)</t>
  </si>
  <si>
    <t>Gs flight</t>
  </si>
  <si>
    <t>T/W take off</t>
  </si>
  <si>
    <t>Preguntas</t>
  </si>
  <si>
    <t>Overall dimensions of rocket</t>
  </si>
  <si>
    <t>Length (m)</t>
  </si>
  <si>
    <t>Diameter (cm)</t>
  </si>
  <si>
    <t>Cr (cm)</t>
  </si>
  <si>
    <t>Ct (cm)</t>
  </si>
  <si>
    <t>LE (deg)</t>
  </si>
  <si>
    <t>Cross-Sec A (m^2)</t>
  </si>
  <si>
    <t>Enlarging (cm)</t>
  </si>
  <si>
    <t>Geometry determination of components</t>
  </si>
  <si>
    <t>Type</t>
  </si>
  <si>
    <t>Conical</t>
  </si>
  <si>
    <t>X</t>
  </si>
  <si>
    <t>Y</t>
  </si>
  <si>
    <t>Y(-)</t>
  </si>
  <si>
    <t>Ogive</t>
  </si>
  <si>
    <t>Nosecone</t>
  </si>
  <si>
    <t>Geometry description</t>
  </si>
  <si>
    <t>R</t>
  </si>
  <si>
    <t>Eq for curvature</t>
  </si>
  <si>
    <t>-</t>
  </si>
  <si>
    <t>Diameter</t>
  </si>
  <si>
    <t>cm</t>
  </si>
  <si>
    <t>m</t>
  </si>
  <si>
    <t>Large</t>
  </si>
  <si>
    <t>Comments</t>
  </si>
  <si>
    <t>Nosecone type conical, easy to manufacture and design. High drag and less heat transfer.</t>
  </si>
  <si>
    <t>References</t>
  </si>
  <si>
    <t>Solidworks Tutorial - Equation Driven Curve - YouTube</t>
  </si>
  <si>
    <t>Rocket tube</t>
  </si>
  <si>
    <t>Transition diameter</t>
  </si>
  <si>
    <t>Length</t>
  </si>
  <si>
    <t>Fuselage tube for intern components</t>
  </si>
  <si>
    <t>AERO mark</t>
  </si>
  <si>
    <t>Sweeped</t>
  </si>
  <si>
    <t>Y(LE)</t>
  </si>
  <si>
    <t>Y(LE-)</t>
  </si>
  <si>
    <t>X_aero</t>
  </si>
  <si>
    <t>Tapered 1/4 chord</t>
  </si>
  <si>
    <t>Y(-LE)</t>
  </si>
  <si>
    <t>Fins</t>
  </si>
  <si>
    <t>slope</t>
  </si>
  <si>
    <t>LE sweep</t>
  </si>
  <si>
    <t>deg</t>
  </si>
  <si>
    <t>Aero-geometry corrected</t>
  </si>
  <si>
    <t>AR</t>
  </si>
  <si>
    <t>Transition</t>
  </si>
  <si>
    <t>B1</t>
  </si>
  <si>
    <t>Cross-sec A (per fin)</t>
  </si>
  <si>
    <t>m^2</t>
  </si>
  <si>
    <t>Fyn type</t>
  </si>
  <si>
    <t>Trapezoidal</t>
  </si>
  <si>
    <t>Thickness</t>
  </si>
  <si>
    <t>mm</t>
  </si>
  <si>
    <t>Enlarging (per fin)</t>
  </si>
  <si>
    <t>Ct</t>
  </si>
  <si>
    <t>Cr</t>
  </si>
  <si>
    <t>Taper ratio</t>
  </si>
  <si>
    <t>Semi-wing</t>
  </si>
  <si>
    <t>Span</t>
  </si>
  <si>
    <t>Location</t>
  </si>
  <si>
    <t>Total surface reference</t>
  </si>
  <si>
    <t>cm^2</t>
  </si>
  <si>
    <t>Sweeped fins easy to manufacture</t>
  </si>
  <si>
    <t>Tapered fins are efficient but complicated to manufacture. Efficient at low speeds</t>
  </si>
  <si>
    <t>DATA</t>
  </si>
  <si>
    <t>Fin type</t>
  </si>
  <si>
    <t>Tapered 1/4</t>
  </si>
  <si>
    <t>Tapered sweeped</t>
  </si>
  <si>
    <t>Column4</t>
  </si>
  <si>
    <t>Column5</t>
  </si>
  <si>
    <t>Surface area</t>
  </si>
  <si>
    <t>Boat-tail</t>
  </si>
  <si>
    <t>Diameter transition</t>
  </si>
  <si>
    <t>Diameter to rocket</t>
  </si>
  <si>
    <t>Boat-tail according to literature reduce tail drag in burnout condition</t>
  </si>
  <si>
    <t>Center of gravity location from datum</t>
  </si>
  <si>
    <t xml:space="preserve">                    </t>
  </si>
  <si>
    <t>Inertia tensor</t>
  </si>
  <si>
    <t>Mass (gr)</t>
  </si>
  <si>
    <t>x</t>
  </si>
  <si>
    <t>y</t>
  </si>
  <si>
    <t>z</t>
  </si>
  <si>
    <t>Mx</t>
  </si>
  <si>
    <t>My</t>
  </si>
  <si>
    <t>Mz</t>
  </si>
  <si>
    <t>meters</t>
  </si>
  <si>
    <t>Mass (kg)</t>
  </si>
  <si>
    <t>Nose cone</t>
  </si>
  <si>
    <t>Fuselage</t>
  </si>
  <si>
    <t>Fin 1 xy</t>
  </si>
  <si>
    <t>Fin 2 xy</t>
  </si>
  <si>
    <t>Fin 3 xz</t>
  </si>
  <si>
    <t>Fin 4 xz</t>
  </si>
  <si>
    <t>Equations</t>
  </si>
  <si>
    <t>Boat tail</t>
  </si>
  <si>
    <t>Avionics</t>
  </si>
  <si>
    <t>Ixx</t>
  </si>
  <si>
    <t>Iyx</t>
  </si>
  <si>
    <t>Ixz</t>
  </si>
  <si>
    <t>Recovery</t>
  </si>
  <si>
    <t>Ixy</t>
  </si>
  <si>
    <t>Iyy</t>
  </si>
  <si>
    <t>Iyz</t>
  </si>
  <si>
    <t>PS</t>
  </si>
  <si>
    <t>Motor</t>
  </si>
  <si>
    <t>Izx</t>
  </si>
  <si>
    <t>Izz</t>
  </si>
  <si>
    <t>Payload</t>
  </si>
  <si>
    <t>Overall CG</t>
  </si>
  <si>
    <t>Overall assembly from CAD</t>
  </si>
  <si>
    <t>Avionics - components</t>
  </si>
  <si>
    <t>Tubo</t>
  </si>
  <si>
    <t>Flight comp</t>
  </si>
  <si>
    <t>Parametros</t>
  </si>
  <si>
    <t>Unidades</t>
  </si>
  <si>
    <t>Fibra seleccionada</t>
  </si>
  <si>
    <t>Unidad</t>
  </si>
  <si>
    <t>Sensor 1</t>
  </si>
  <si>
    <t>Dext</t>
  </si>
  <si>
    <t>Densidad</t>
  </si>
  <si>
    <t>kg/m^3</t>
  </si>
  <si>
    <t>Sensor 2</t>
  </si>
  <si>
    <t>Dint</t>
  </si>
  <si>
    <t>Vf</t>
  </si>
  <si>
    <t>%</t>
  </si>
  <si>
    <t>Sensor 3</t>
  </si>
  <si>
    <t>PCB &amp; cables</t>
  </si>
  <si>
    <t>thickness</t>
  </si>
  <si>
    <t>Matriz seleccionada</t>
  </si>
  <si>
    <t>Transceiver</t>
  </si>
  <si>
    <t>Antena</t>
  </si>
  <si>
    <t>gr/cm3</t>
  </si>
  <si>
    <t>Vm</t>
  </si>
  <si>
    <t>GPS</t>
  </si>
  <si>
    <t>Masa calculada</t>
  </si>
  <si>
    <t>gr</t>
  </si>
  <si>
    <t>kg</t>
  </si>
  <si>
    <t>Por aleta</t>
  </si>
  <si>
    <t>Center of pressure location from datum</t>
  </si>
  <si>
    <t>Force/
pressure ()</t>
  </si>
  <si>
    <t>Root</t>
  </si>
  <si>
    <t>kg/m3</t>
  </si>
  <si>
    <t>Tip</t>
  </si>
  <si>
    <t>Overall CP</t>
  </si>
  <si>
    <t>Overall assembly CP from CFD</t>
  </si>
  <si>
    <t>CE</t>
  </si>
  <si>
    <t>Comp</t>
  </si>
  <si>
    <t>Shear</t>
  </si>
  <si>
    <t>Bending</t>
  </si>
  <si>
    <t>Forebody (cone + fus.)</t>
  </si>
  <si>
    <t>CG</t>
  </si>
  <si>
    <t>Total</t>
  </si>
  <si>
    <t xml:space="preserve">                                                Iterations
Input variables (ambient)</t>
  </si>
  <si>
    <t>Airflow (m/s)</t>
  </si>
  <si>
    <t>U (m/s)</t>
  </si>
  <si>
    <t>V (m/s)</t>
  </si>
  <si>
    <t>W (m/s)</t>
  </si>
  <si>
    <t xml:space="preserve">Mach </t>
  </si>
  <si>
    <t>AoA (deg) symmetric x,z</t>
  </si>
  <si>
    <t>AoS  (deg) slideslip, symmetric x,y</t>
  </si>
  <si>
    <t>AoA (rad)</t>
  </si>
  <si>
    <t>AoS (rad)</t>
  </si>
  <si>
    <t>Altitude (m)</t>
  </si>
  <si>
    <t>Local static pressure (Pa)</t>
  </si>
  <si>
    <t>Density local (kg/m3)</t>
  </si>
  <si>
    <t>Temperature local (K)</t>
  </si>
  <si>
    <t>Dynamic viscosity  (Pa*s)</t>
  </si>
  <si>
    <t>Kinematic viscosity (m2/s)</t>
  </si>
  <si>
    <t>Gust wind (m/s)</t>
  </si>
  <si>
    <t>Modified AoA (deg)</t>
  </si>
  <si>
    <t>Modified AoS (deg)</t>
  </si>
  <si>
    <t>Modified AoA (rad)</t>
  </si>
  <si>
    <t>Modified AoS (rad)</t>
  </si>
  <si>
    <t>Max-Q (max. Dynamic pressure) Pa</t>
  </si>
  <si>
    <t>Cross-sec area (m^2)</t>
  </si>
  <si>
    <t>Forces (loads)</t>
  </si>
  <si>
    <t>Local pressure (Pa)</t>
  </si>
  <si>
    <t>Gust wind U (m/s)</t>
  </si>
  <si>
    <t>Gust wind V (m/s)</t>
  </si>
  <si>
    <t>Gust wind W (m/s)</t>
  </si>
  <si>
    <t>Fin geometry design (per fin)</t>
  </si>
  <si>
    <t>Diameter of rocket (cm)</t>
  </si>
  <si>
    <t xml:space="preserve"> (m)</t>
  </si>
  <si>
    <t>Real chord root (cm)</t>
  </si>
  <si>
    <t>(m)</t>
  </si>
  <si>
    <t>Physical chord root (cm)</t>
  </si>
  <si>
    <t>Chord tip (cm)</t>
  </si>
  <si>
    <t>Thickness (mm)</t>
  </si>
  <si>
    <t>LE sweep (deg)</t>
  </si>
  <si>
    <t>Taper ratio (-)</t>
  </si>
  <si>
    <t>Semi-span (cm)</t>
  </si>
  <si>
    <t>Enlarging (cm) (per fin)</t>
  </si>
  <si>
    <t>Real surface (m2) (per fin)</t>
  </si>
  <si>
    <t>Physical Lifting surface (m2) (per fin)</t>
  </si>
  <si>
    <t>AR (-)</t>
  </si>
  <si>
    <t>Numeric segmentation  for N=10</t>
  </si>
  <si>
    <t>semi-span-separation (m)</t>
  </si>
  <si>
    <t>chord-slope</t>
  </si>
  <si>
    <t>Station (semi-span-location, m)</t>
  </si>
  <si>
    <t>Station (chord, m)</t>
  </si>
  <si>
    <t>Station (local-area, m^2)</t>
  </si>
  <si>
    <t>Aero parameters</t>
  </si>
  <si>
    <t>Aerodynamic corrected slope</t>
  </si>
  <si>
    <t>den</t>
  </si>
  <si>
    <t>num 1</t>
  </si>
  <si>
    <t>num 2</t>
  </si>
  <si>
    <t>Reynolds max TE</t>
  </si>
  <si>
    <t>Reynolds min TE</t>
  </si>
  <si>
    <t>Cl corrected</t>
  </si>
  <si>
    <t>Data points (Lift)</t>
  </si>
  <si>
    <t>CL per fin 3D</t>
  </si>
  <si>
    <t>Data points (CL due AoA, M&lt;0.5)</t>
  </si>
  <si>
    <t>Forebody Near-Zero AoA</t>
  </si>
  <si>
    <t>Lift</t>
  </si>
  <si>
    <t>Mach numb</t>
  </si>
  <si>
    <t>L_n/d</t>
  </si>
  <si>
    <t>largo</t>
  </si>
  <si>
    <t>1 cal</t>
  </si>
  <si>
    <t>cal</t>
  </si>
  <si>
    <t>Forebody Finite AoA</t>
  </si>
  <si>
    <t>For Mach = 0.5</t>
  </si>
  <si>
    <t>C_NC</t>
  </si>
  <si>
    <t>dC_NC</t>
  </si>
  <si>
    <t>avg</t>
  </si>
  <si>
    <t>Only valid for +/- 5 deg</t>
  </si>
  <si>
    <t>Mach number</t>
  </si>
  <si>
    <t>d(C_NC)/da</t>
  </si>
  <si>
    <t>For C_PL</t>
  </si>
  <si>
    <t>planform coefficient</t>
  </si>
  <si>
    <t>L-N</t>
  </si>
  <si>
    <t>length of cone</t>
  </si>
  <si>
    <t>L-M</t>
  </si>
  <si>
    <t>length of circular section between cone and tail</t>
  </si>
  <si>
    <t>L-T</t>
  </si>
  <si>
    <t>length of boat-tail</t>
  </si>
  <si>
    <t>L</t>
  </si>
  <si>
    <t>total length</t>
  </si>
  <si>
    <t>Model for aircraft dynamics</t>
  </si>
  <si>
    <t>Total der.</t>
  </si>
  <si>
    <t>Derivative</t>
  </si>
  <si>
    <t>Description</t>
  </si>
  <si>
    <t>Notes</t>
  </si>
  <si>
    <t>CL</t>
  </si>
  <si>
    <t>Lift coefficient</t>
  </si>
  <si>
    <t>Lifting capability</t>
  </si>
  <si>
    <t>CD</t>
  </si>
  <si>
    <t>Drag coefficient</t>
  </si>
  <si>
    <t>Aircraft total drag</t>
  </si>
  <si>
    <t>CXu</t>
  </si>
  <si>
    <t>Change in drag (or axial force) coefficient due to forward velocity u'</t>
  </si>
  <si>
    <t>aerodynamic drag behavior</t>
  </si>
  <si>
    <t>Drag force</t>
  </si>
  <si>
    <t>CXα</t>
  </si>
  <si>
    <t>Change in drag (or axial force) coefficient due to angle of attack α'</t>
  </si>
  <si>
    <t>drag increases with α</t>
  </si>
  <si>
    <t>CXq</t>
  </si>
  <si>
    <t>Change in drag (or axial force) coefficient due to pitch rate q'</t>
  </si>
  <si>
    <t>drag increase pitching up or down</t>
  </si>
  <si>
    <t>CZu</t>
  </si>
  <si>
    <t>Change in lift coefficient due to forward velocity u'</t>
  </si>
  <si>
    <t>aerodynamic lift behavior</t>
  </si>
  <si>
    <t>Lift force</t>
  </si>
  <si>
    <t>CZα</t>
  </si>
  <si>
    <t>Change in lift coefficient due to angle of attack α'</t>
  </si>
  <si>
    <t>lift generated due changes in α</t>
  </si>
  <si>
    <t>CZq</t>
  </si>
  <si>
    <t>Change in lift coefficient due to pitch rate q'</t>
  </si>
  <si>
    <t>lift generated by pitching</t>
  </si>
  <si>
    <t>CYß</t>
  </si>
  <si>
    <t>Change in side force coefficient due to slideslip angle ß'</t>
  </si>
  <si>
    <t>side force generated by slideslip, lateral-directional</t>
  </si>
  <si>
    <t>Side force</t>
  </si>
  <si>
    <t>CYp</t>
  </si>
  <si>
    <t>Change in side force coefficient due to roll rate p'</t>
  </si>
  <si>
    <t>side  force due to rolling rate</t>
  </si>
  <si>
    <t>CYr</t>
  </si>
  <si>
    <t>Change in side force coefficient due to yaw rate r'</t>
  </si>
  <si>
    <t>side  force generated by yaw rate</t>
  </si>
  <si>
    <t>CLp</t>
  </si>
  <si>
    <t>Change in rolling coefficient due to roll rate p' (roll ramping)</t>
  </si>
  <si>
    <t>stabilizing moment resisting rollingmotion</t>
  </si>
  <si>
    <t>Rolling moment</t>
  </si>
  <si>
    <t>CLß</t>
  </si>
  <si>
    <t>Change in rolling coefficient due to slideslip angle ß'</t>
  </si>
  <si>
    <t>dihedral effect</t>
  </si>
  <si>
    <t>CLr</t>
  </si>
  <si>
    <t>Change in rolling moment coefficient due to yaw rate r'</t>
  </si>
  <si>
    <t>yaw-roll coupling, important for dutch roll</t>
  </si>
  <si>
    <t>CMu</t>
  </si>
  <si>
    <t>Change in pitching moment coefficient due to changes in forward velocity u'</t>
  </si>
  <si>
    <t>indicates change in pitching moment</t>
  </si>
  <si>
    <t>Pitching moment</t>
  </si>
  <si>
    <t>CMα</t>
  </si>
  <si>
    <t>Change in pitching moment coefficient due to changes angle of attack α'</t>
  </si>
  <si>
    <t>determines aircraft stability margin</t>
  </si>
  <si>
    <t>CMq</t>
  </si>
  <si>
    <t>Change in pitching moment coefficient due to changes in pitch rate q (pitch damping)</t>
  </si>
  <si>
    <t>damping moment that resist furtherchanges in pitch rate</t>
  </si>
  <si>
    <t>CNß</t>
  </si>
  <si>
    <t>Change in yawing moment coefficient due to slideslip ß'</t>
  </si>
  <si>
    <t xml:space="preserve">restoring yawing moment </t>
  </si>
  <si>
    <t>Yawing moment</t>
  </si>
  <si>
    <t>CNp</t>
  </si>
  <si>
    <t>Change in yawing moment coefficient due to roll rate p'</t>
  </si>
  <si>
    <t>yawing tendency during rolling motion</t>
  </si>
  <si>
    <t>CNr</t>
  </si>
  <si>
    <t>Change in yawing moment coefficient due to yaw rate r' (yaw damping)</t>
  </si>
  <si>
    <t xml:space="preserve">yaw damping moment, provides dynamic stability </t>
  </si>
  <si>
    <t>Reduced model to rocket dynamics</t>
  </si>
  <si>
    <t>Z</t>
  </si>
  <si>
    <t>Pitch P</t>
  </si>
  <si>
    <t>Roll Q</t>
  </si>
  <si>
    <t>Yaw R</t>
  </si>
  <si>
    <t>Temperature local (C°)</t>
  </si>
  <si>
    <t>Mach (for data)</t>
  </si>
  <si>
    <t>Speed of sound (m/s)</t>
  </si>
  <si>
    <t>Atmosphere conditions</t>
  </si>
  <si>
    <t>dCL/dAlpha due Mach &amp; AoA</t>
  </si>
  <si>
    <t>y (wall separation, mm)</t>
  </si>
  <si>
    <t>y (wall separation, m)</t>
  </si>
  <si>
    <t>First term</t>
  </si>
  <si>
    <t>Chord y+ segmentation</t>
  </si>
  <si>
    <t>Total Area Sum m^2</t>
  </si>
  <si>
    <t xml:space="preserve">Linearized theoretical data </t>
  </si>
  <si>
    <t>y+ sonic MAX Re TE</t>
  </si>
  <si>
    <t>y+ subsonic MAX Re TE</t>
  </si>
  <si>
    <t xml:space="preserve">                                                   Iterations
Input variables (ambient)</t>
  </si>
  <si>
    <t>Data points (Moment due Lift Myz)</t>
  </si>
  <si>
    <t>TOTAL Myz due lift (Newtons)</t>
  </si>
  <si>
    <t>TOTAL Lift (Newtons)</t>
  </si>
  <si>
    <t>CP loc. of fin 3D (cm)</t>
  </si>
  <si>
    <t>AoA (deg) x,z Lift</t>
  </si>
  <si>
    <t>AoA (deg) x,z SideForce</t>
  </si>
  <si>
    <t>AoA (deg) x,z Drag</t>
  </si>
  <si>
    <t>Atmosphere and boundary layer cond</t>
  </si>
  <si>
    <t>Aerodynamic CFD static coeficients per fin</t>
  </si>
  <si>
    <t>Aerodynamic CFD dynamic coeficients per fin</t>
  </si>
  <si>
    <t>Linearized theoretical data in rocket</t>
  </si>
  <si>
    <t>Q RATE</t>
  </si>
  <si>
    <t>Calibers</t>
  </si>
  <si>
    <t>Physical distance (meters)</t>
  </si>
  <si>
    <t>Aerodynamic corrected slope supersonic</t>
  </si>
  <si>
    <t>Selected q rate</t>
  </si>
  <si>
    <t>Selected Cl slope due Mach</t>
  </si>
  <si>
    <t>Data points (AoA due q rate rad/s, out: rad)</t>
  </si>
  <si>
    <t>Data points (AoA due q rate rad/s, out: deg)</t>
  </si>
  <si>
    <t>TOTAL Lift</t>
  </si>
  <si>
    <t>Pitch moment due Q rate</t>
  </si>
  <si>
    <t>Aerodynamic theoretical STATIC forces per fin</t>
  </si>
  <si>
    <t>Cm,q (damping)</t>
  </si>
  <si>
    <t>Mean aerodynamic chord (MAC)</t>
  </si>
  <si>
    <t>Cl due q rate rad/s (Cl,q)</t>
  </si>
  <si>
    <t>Reference length dx = (x,cp - x.cg)</t>
  </si>
  <si>
    <t>dCL/dAlpha due Mach (AoA&lt;25 deg, in rad)</t>
  </si>
  <si>
    <t xml:space="preserve">dCm,q /dq due Mach </t>
  </si>
  <si>
    <t xml:space="preserve">dCm,AoA /dAoA due Mach </t>
  </si>
  <si>
    <t>Mach (std temp 288K, 1 atm, vel in m/s)</t>
  </si>
  <si>
    <t>chord Re segmentation (chord root)</t>
  </si>
  <si>
    <t>chord Re segmentation (chord  root)</t>
  </si>
  <si>
    <t>y+ for rocket length MAX RE</t>
  </si>
  <si>
    <t>sound speed SL</t>
  </si>
  <si>
    <t>T local</t>
  </si>
  <si>
    <t>AoA (deg) x,z Moment axis z</t>
  </si>
  <si>
    <t>AoA (deg) x,z Moment axis y</t>
  </si>
  <si>
    <t>AoA (deg) x,z Moment axis x</t>
  </si>
  <si>
    <t>Aref</t>
  </si>
  <si>
    <t>dynamic pressure (Pa. 0.5*rho*V^2)</t>
  </si>
  <si>
    <t>rho at  1 atm, 288K</t>
  </si>
  <si>
    <t>Reference length</t>
  </si>
  <si>
    <t>CP from coordinate 0,0,0 (middle of forebody Mz for Fy)</t>
  </si>
  <si>
    <t>CP from coordinate 0,0,0 (middle of forebody My for Fz)</t>
  </si>
  <si>
    <t>dCL /dAoA</t>
  </si>
  <si>
    <t>dCSF /dAoS (angle of slideslip)</t>
  </si>
  <si>
    <t>dCD /dAoA</t>
  </si>
  <si>
    <t>Nose cone diameter (in, cm)</t>
  </si>
  <si>
    <t>Forebody length (in, cm)</t>
  </si>
  <si>
    <t>For numb of layer</t>
  </si>
  <si>
    <t>For trans ratio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</si>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</sst>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00"/>
    <numFmt numFmtId="167" formatCode="0.0000"/>
    <numFmt numFmtId="169" formatCode="0.00000"/>
    <numFmt numFmtId="170" formatCode="0.000000"/>
  </numFmts>
  <fonts count="1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Time"/>
    </font>
    <font>
      <b/>
      <sz val="10"/>
      <color theme="1"/>
      <name val="Time"/>
    </font>
    <font>
      <sz val="10"/>
      <color theme="0"/>
      <name val="Time"/>
    </font>
    <font>
      <sz val="10"/>
      <color theme="1"/>
      <name val="Aptos Narrow"/>
      <family val="2"/>
    </font>
    <font>
      <i/>
      <sz val="10"/>
      <color theme="1"/>
      <name val="Time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8C8C"/>
        <bgColor indexed="64"/>
      </patternFill>
    </fill>
    <fill>
      <patternFill patternType="solid">
        <fgColor rgb="FFF5E4B0"/>
        <bgColor indexed="64"/>
      </patternFill>
    </fill>
    <fill>
      <patternFill patternType="solid">
        <fgColor rgb="FF86BBC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8" xfId="1" applyBorder="1" applyAlignment="1">
      <alignment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1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22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3" xfId="0" applyFill="1" applyBorder="1"/>
    <xf numFmtId="0" fontId="0" fillId="2" borderId="14" xfId="0" applyFill="1" applyBorder="1"/>
    <xf numFmtId="0" fontId="0" fillId="4" borderId="1" xfId="0" applyFill="1" applyBorder="1"/>
    <xf numFmtId="166" fontId="0" fillId="2" borderId="9" xfId="0" applyNumberFormat="1" applyFill="1" applyBorder="1"/>
    <xf numFmtId="166" fontId="0" fillId="2" borderId="22" xfId="0" applyNumberFormat="1" applyFill="1" applyBorder="1"/>
    <xf numFmtId="166" fontId="0" fillId="2" borderId="10" xfId="0" applyNumberFormat="1" applyFill="1" applyBorder="1"/>
    <xf numFmtId="166" fontId="0" fillId="2" borderId="11" xfId="0" applyNumberFormat="1" applyFill="1" applyBorder="1"/>
    <xf numFmtId="166" fontId="0" fillId="2" borderId="8" xfId="0" applyNumberFormat="1" applyFill="1" applyBorder="1"/>
    <xf numFmtId="166" fontId="0" fillId="2" borderId="12" xfId="0" applyNumberFormat="1" applyFill="1" applyBorder="1"/>
    <xf numFmtId="166" fontId="0" fillId="2" borderId="13" xfId="0" applyNumberFormat="1" applyFill="1" applyBorder="1"/>
    <xf numFmtId="166" fontId="0" fillId="2" borderId="23" xfId="0" applyNumberFormat="1" applyFill="1" applyBorder="1"/>
    <xf numFmtId="166" fontId="0" fillId="2" borderId="14" xfId="0" applyNumberFormat="1" applyFill="1" applyBorder="1"/>
    <xf numFmtId="0" fontId="0" fillId="2" borderId="1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0" xfId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7" borderId="4" xfId="0" applyNumberFormat="1" applyFill="1" applyBorder="1" applyAlignment="1">
      <alignment horizontal="center" vertical="center" wrapText="1"/>
    </xf>
    <xf numFmtId="165" fontId="0" fillId="7" borderId="5" xfId="0" applyNumberForma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6" borderId="0" xfId="0" applyFill="1"/>
    <xf numFmtId="0" fontId="7" fillId="0" borderId="20" xfId="0" applyFont="1" applyBorder="1" applyAlignment="1">
      <alignment horizontal="left"/>
    </xf>
    <xf numFmtId="167" fontId="0" fillId="0" borderId="0" xfId="0" applyNumberFormat="1"/>
    <xf numFmtId="0" fontId="7" fillId="2" borderId="20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 vertical="center"/>
    </xf>
    <xf numFmtId="2" fontId="7" fillId="2" borderId="4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2" fontId="7" fillId="2" borderId="21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2" fontId="7" fillId="3" borderId="15" xfId="0" applyNumberFormat="1" applyFont="1" applyFill="1" applyBorder="1" applyAlignment="1">
      <alignment horizontal="center" vertical="center"/>
    </xf>
    <xf numFmtId="2" fontId="7" fillId="3" borderId="2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21" xfId="0" applyFont="1" applyFill="1" applyBorder="1" applyAlignment="1">
      <alignment horizontal="left"/>
    </xf>
    <xf numFmtId="0" fontId="9" fillId="6" borderId="0" xfId="0" applyFont="1" applyFill="1" applyAlignment="1">
      <alignment horizontal="left"/>
    </xf>
    <xf numFmtId="0" fontId="7" fillId="2" borderId="15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15" fontId="7" fillId="2" borderId="15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 vertical="center"/>
    </xf>
    <xf numFmtId="2" fontId="7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8" borderId="15" xfId="0" applyFont="1" applyFill="1" applyBorder="1" applyAlignment="1">
      <alignment horizontal="left" vertical="center"/>
    </xf>
    <xf numFmtId="0" fontId="10" fillId="8" borderId="16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9" fontId="7" fillId="0" borderId="17" xfId="2" applyFont="1" applyBorder="1" applyAlignment="1">
      <alignment horizontal="left" vertical="center"/>
    </xf>
    <xf numFmtId="9" fontId="7" fillId="0" borderId="18" xfId="2" applyFont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9" fontId="8" fillId="7" borderId="5" xfId="2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9" fontId="7" fillId="0" borderId="19" xfId="2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10" borderId="15" xfId="0" applyFont="1" applyFill="1" applyBorder="1" applyAlignment="1">
      <alignment horizontal="left"/>
    </xf>
    <xf numFmtId="0" fontId="7" fillId="10" borderId="16" xfId="0" applyFont="1" applyFill="1" applyBorder="1" applyAlignment="1">
      <alignment horizontal="left"/>
    </xf>
    <xf numFmtId="9" fontId="7" fillId="10" borderId="25" xfId="2" applyFont="1" applyFill="1" applyBorder="1" applyAlignment="1">
      <alignment horizontal="left"/>
    </xf>
    <xf numFmtId="9" fontId="7" fillId="10" borderId="16" xfId="2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" fillId="0" borderId="0" xfId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2" borderId="15" xfId="0" applyFont="1" applyFill="1" applyBorder="1" applyAlignment="1">
      <alignment horizontal="center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11" borderId="0" xfId="0" applyFill="1"/>
    <xf numFmtId="0" fontId="0" fillId="2" borderId="15" xfId="0" applyFill="1" applyBorder="1"/>
    <xf numFmtId="0" fontId="0" fillId="2" borderId="25" xfId="0" applyFill="1" applyBorder="1"/>
    <xf numFmtId="0" fontId="0" fillId="2" borderId="16" xfId="0" applyFill="1" applyBorder="1"/>
    <xf numFmtId="0" fontId="0" fillId="4" borderId="15" xfId="0" applyFill="1" applyBorder="1"/>
    <xf numFmtId="0" fontId="0" fillId="4" borderId="20" xfId="0" applyFill="1" applyBorder="1"/>
    <xf numFmtId="0" fontId="0" fillId="4" borderId="3" xfId="0" applyFill="1" applyBorder="1"/>
    <xf numFmtId="0" fontId="0" fillId="2" borderId="1" xfId="0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7" xfId="0" applyFill="1" applyBorder="1"/>
    <xf numFmtId="0" fontId="0" fillId="4" borderId="25" xfId="0" applyFill="1" applyBorder="1"/>
    <xf numFmtId="0" fontId="0" fillId="4" borderId="16" xfId="0" applyFill="1" applyBorder="1"/>
    <xf numFmtId="11" fontId="0" fillId="0" borderId="0" xfId="0" applyNumberFormat="1"/>
    <xf numFmtId="0" fontId="0" fillId="0" borderId="34" xfId="0" applyBorder="1"/>
    <xf numFmtId="0" fontId="4" fillId="0" borderId="34" xfId="0" applyFont="1" applyBorder="1" applyAlignment="1">
      <alignment wrapText="1"/>
    </xf>
    <xf numFmtId="11" fontId="0" fillId="0" borderId="4" xfId="0" applyNumberFormat="1" applyBorder="1" applyAlignment="1">
      <alignment horizontal="center" vertical="center" wrapText="1"/>
    </xf>
    <xf numFmtId="11" fontId="0" fillId="0" borderId="40" xfId="0" applyNumberFormat="1" applyBorder="1" applyAlignment="1">
      <alignment horizontal="center" vertical="center" wrapText="1"/>
    </xf>
    <xf numFmtId="165" fontId="0" fillId="0" borderId="0" xfId="0" applyNumberFormat="1"/>
    <xf numFmtId="0" fontId="4" fillId="4" borderId="34" xfId="0" applyFont="1" applyFill="1" applyBorder="1"/>
    <xf numFmtId="0" fontId="4" fillId="4" borderId="44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0" xfId="0" applyBorder="1"/>
    <xf numFmtId="0" fontId="0" fillId="0" borderId="3" xfId="0" applyBorder="1"/>
    <xf numFmtId="0" fontId="0" fillId="0" borderId="6" xfId="0" applyBorder="1"/>
    <xf numFmtId="0" fontId="0" fillId="0" borderId="21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45" xfId="0" applyBorder="1"/>
    <xf numFmtId="0" fontId="4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/>
    <xf numFmtId="0" fontId="12" fillId="13" borderId="47" xfId="0" applyFont="1" applyFill="1" applyBorder="1" applyAlignment="1">
      <alignment horizontal="center" vertical="center"/>
    </xf>
    <xf numFmtId="0" fontId="12" fillId="14" borderId="47" xfId="0" applyFont="1" applyFill="1" applyBorder="1" applyAlignment="1">
      <alignment horizontal="center" vertical="center"/>
    </xf>
    <xf numFmtId="0" fontId="12" fillId="13" borderId="45" xfId="0" applyFont="1" applyFill="1" applyBorder="1" applyAlignment="1">
      <alignment horizontal="center" vertical="center"/>
    </xf>
    <xf numFmtId="0" fontId="12" fillId="14" borderId="45" xfId="0" applyFont="1" applyFill="1" applyBorder="1" applyAlignment="1">
      <alignment horizontal="center" vertical="center"/>
    </xf>
    <xf numFmtId="0" fontId="12" fillId="13" borderId="52" xfId="0" applyFont="1" applyFill="1" applyBorder="1" applyAlignment="1">
      <alignment horizontal="center" vertical="center"/>
    </xf>
    <xf numFmtId="0" fontId="12" fillId="14" borderId="52" xfId="0" applyFont="1" applyFill="1" applyBorder="1" applyAlignment="1">
      <alignment horizontal="center" vertical="center"/>
    </xf>
    <xf numFmtId="0" fontId="12" fillId="12" borderId="47" xfId="0" applyFont="1" applyFill="1" applyBorder="1" applyAlignment="1">
      <alignment horizontal="center" vertical="center"/>
    </xf>
    <xf numFmtId="0" fontId="12" fillId="12" borderId="45" xfId="0" applyFont="1" applyFill="1" applyBorder="1" applyAlignment="1">
      <alignment horizontal="center" vertical="center"/>
    </xf>
    <xf numFmtId="0" fontId="12" fillId="12" borderId="52" xfId="0" applyFont="1" applyFill="1" applyBorder="1" applyAlignment="1">
      <alignment horizontal="center" vertical="center"/>
    </xf>
    <xf numFmtId="0" fontId="12" fillId="15" borderId="47" xfId="0" applyFont="1" applyFill="1" applyBorder="1" applyAlignment="1">
      <alignment horizontal="center" vertical="center"/>
    </xf>
    <xf numFmtId="0" fontId="12" fillId="15" borderId="45" xfId="0" applyFont="1" applyFill="1" applyBorder="1" applyAlignment="1">
      <alignment horizontal="center" vertical="center"/>
    </xf>
    <xf numFmtId="0" fontId="12" fillId="15" borderId="52" xfId="0" applyFont="1" applyFill="1" applyBorder="1" applyAlignment="1">
      <alignment horizontal="center" vertical="center"/>
    </xf>
    <xf numFmtId="0" fontId="12" fillId="11" borderId="47" xfId="0" applyFont="1" applyFill="1" applyBorder="1" applyAlignment="1">
      <alignment horizontal="center" vertical="center"/>
    </xf>
    <xf numFmtId="0" fontId="12" fillId="11" borderId="45" xfId="0" applyFont="1" applyFill="1" applyBorder="1" applyAlignment="1">
      <alignment horizontal="center" vertical="center"/>
    </xf>
    <xf numFmtId="0" fontId="12" fillId="11" borderId="52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2" fillId="8" borderId="45" xfId="0" applyFont="1" applyFill="1" applyBorder="1" applyAlignment="1">
      <alignment horizontal="center" vertical="center"/>
    </xf>
    <xf numFmtId="0" fontId="12" fillId="8" borderId="52" xfId="0" applyFont="1" applyFill="1" applyBorder="1" applyAlignment="1">
      <alignment horizontal="center" vertical="center"/>
    </xf>
    <xf numFmtId="0" fontId="12" fillId="16" borderId="45" xfId="0" applyFont="1" applyFill="1" applyBorder="1" applyAlignment="1">
      <alignment horizontal="center" vertical="center"/>
    </xf>
    <xf numFmtId="0" fontId="12" fillId="16" borderId="52" xfId="0" applyFont="1" applyFill="1" applyBorder="1" applyAlignment="1">
      <alignment horizontal="center" vertical="center"/>
    </xf>
    <xf numFmtId="0" fontId="12" fillId="16" borderId="47" xfId="0" applyFont="1" applyFill="1" applyBorder="1" applyAlignment="1">
      <alignment horizontal="center" vertical="center"/>
    </xf>
    <xf numFmtId="0" fontId="12" fillId="17" borderId="47" xfId="0" applyFont="1" applyFill="1" applyBorder="1" applyAlignment="1">
      <alignment horizontal="center" vertical="center"/>
    </xf>
    <xf numFmtId="0" fontId="12" fillId="17" borderId="45" xfId="0" applyFont="1" applyFill="1" applyBorder="1" applyAlignment="1">
      <alignment horizontal="center" vertical="center"/>
    </xf>
    <xf numFmtId="0" fontId="12" fillId="19" borderId="47" xfId="0" applyFont="1" applyFill="1" applyBorder="1" applyAlignment="1">
      <alignment horizontal="center" vertical="center"/>
    </xf>
    <xf numFmtId="0" fontId="12" fillId="19" borderId="45" xfId="0" applyFont="1" applyFill="1" applyBorder="1"/>
    <xf numFmtId="0" fontId="12" fillId="18" borderId="47" xfId="0" applyFont="1" applyFill="1" applyBorder="1" applyAlignment="1">
      <alignment horizontal="center" vertical="center"/>
    </xf>
    <xf numFmtId="0" fontId="12" fillId="18" borderId="45" xfId="0" applyFont="1" applyFill="1" applyBorder="1"/>
    <xf numFmtId="0" fontId="4" fillId="17" borderId="47" xfId="0" applyFont="1" applyFill="1" applyBorder="1" applyAlignment="1">
      <alignment horizontal="center" vertical="center"/>
    </xf>
    <xf numFmtId="0" fontId="4" fillId="19" borderId="47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17" borderId="45" xfId="0" applyFont="1" applyFill="1" applyBorder="1" applyAlignment="1">
      <alignment horizontal="center" vertical="center"/>
    </xf>
    <xf numFmtId="0" fontId="4" fillId="19" borderId="45" xfId="0" applyFont="1" applyFill="1" applyBorder="1" applyAlignment="1">
      <alignment horizontal="center" vertical="center"/>
    </xf>
    <xf numFmtId="0" fontId="4" fillId="18" borderId="45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17" borderId="52" xfId="0" applyFont="1" applyFill="1" applyBorder="1" applyAlignment="1">
      <alignment horizontal="center" vertical="center"/>
    </xf>
    <xf numFmtId="0" fontId="4" fillId="19" borderId="52" xfId="0" applyFont="1" applyFill="1" applyBorder="1" applyAlignment="1">
      <alignment horizontal="center" vertical="center"/>
    </xf>
    <xf numFmtId="0" fontId="4" fillId="18" borderId="52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5" borderId="49" xfId="0" applyFill="1" applyBorder="1" applyAlignment="1">
      <alignment horizontal="center" vertical="center"/>
    </xf>
    <xf numFmtId="0" fontId="0" fillId="0" borderId="53" xfId="0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0" xfId="0" applyFill="1" applyAlignment="1">
      <alignment horizontal="center"/>
    </xf>
    <xf numFmtId="165" fontId="0" fillId="2" borderId="21" xfId="0" applyNumberFormat="1" applyFill="1" applyBorder="1"/>
    <xf numFmtId="0" fontId="4" fillId="3" borderId="15" xfId="0" applyFont="1" applyFill="1" applyBorder="1" applyAlignment="1">
      <alignment horizontal="center" vertical="center"/>
    </xf>
    <xf numFmtId="167" fontId="0" fillId="2" borderId="21" xfId="0" applyNumberFormat="1" applyFill="1" applyBorder="1"/>
    <xf numFmtId="167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wrapText="1"/>
    </xf>
    <xf numFmtId="169" fontId="0" fillId="0" borderId="0" xfId="0" applyNumberFormat="1" applyAlignment="1">
      <alignment wrapText="1"/>
    </xf>
    <xf numFmtId="169" fontId="0" fillId="0" borderId="0" xfId="0" applyNumberFormat="1"/>
    <xf numFmtId="0" fontId="0" fillId="20" borderId="0" xfId="0" applyFill="1"/>
    <xf numFmtId="0" fontId="13" fillId="11" borderId="44" xfId="0" applyFont="1" applyFill="1" applyBorder="1"/>
    <xf numFmtId="0" fontId="13" fillId="0" borderId="0" xfId="0" applyFont="1"/>
    <xf numFmtId="0" fontId="13" fillId="11" borderId="0" xfId="0" applyFont="1" applyFill="1"/>
    <xf numFmtId="0" fontId="13" fillId="11" borderId="1" xfId="0" applyFont="1" applyFill="1" applyBorder="1"/>
    <xf numFmtId="0" fontId="13" fillId="11" borderId="1" xfId="0" applyFont="1" applyFill="1" applyBorder="1" applyAlignment="1">
      <alignment horizontal="left" vertical="center" wrapText="1"/>
    </xf>
    <xf numFmtId="2" fontId="13" fillId="0" borderId="0" xfId="0" applyNumberFormat="1" applyFont="1"/>
    <xf numFmtId="0" fontId="14" fillId="0" borderId="0" xfId="0" applyFont="1"/>
    <xf numFmtId="0" fontId="13" fillId="0" borderId="34" xfId="0" applyFont="1" applyBorder="1"/>
    <xf numFmtId="0" fontId="13" fillId="3" borderId="34" xfId="0" applyFont="1" applyFill="1" applyBorder="1"/>
    <xf numFmtId="0" fontId="0" fillId="3" borderId="0" xfId="0" applyFill="1"/>
    <xf numFmtId="0" fontId="13" fillId="3" borderId="0" xfId="0" applyFont="1" applyFill="1"/>
    <xf numFmtId="169" fontId="13" fillId="0" borderId="0" xfId="0" applyNumberFormat="1" applyFont="1"/>
    <xf numFmtId="169" fontId="0" fillId="3" borderId="0" xfId="0" applyNumberFormat="1" applyFill="1"/>
    <xf numFmtId="165" fontId="0" fillId="0" borderId="34" xfId="0" applyNumberFormat="1" applyBorder="1"/>
    <xf numFmtId="0" fontId="13" fillId="11" borderId="43" xfId="0" applyFont="1" applyFill="1" applyBorder="1"/>
    <xf numFmtId="0" fontId="0" fillId="0" borderId="42" xfId="0" applyBorder="1"/>
    <xf numFmtId="0" fontId="0" fillId="0" borderId="54" xfId="0" applyBorder="1"/>
    <xf numFmtId="2" fontId="0" fillId="0" borderId="0" xfId="0" applyNumberFormat="1"/>
    <xf numFmtId="0" fontId="13" fillId="13" borderId="34" xfId="0" applyFont="1" applyFill="1" applyBorder="1"/>
    <xf numFmtId="0" fontId="13" fillId="11" borderId="28" xfId="0" applyFont="1" applyFill="1" applyBorder="1"/>
    <xf numFmtId="2" fontId="13" fillId="11" borderId="28" xfId="0" applyNumberFormat="1" applyFont="1" applyFill="1" applyBorder="1"/>
    <xf numFmtId="165" fontId="13" fillId="11" borderId="28" xfId="0" applyNumberFormat="1" applyFont="1" applyFill="1" applyBorder="1"/>
    <xf numFmtId="1" fontId="0" fillId="0" borderId="0" xfId="0" applyNumberFormat="1"/>
    <xf numFmtId="167" fontId="0" fillId="11" borderId="0" xfId="0" applyNumberFormat="1" applyFill="1" applyAlignment="1">
      <alignment wrapText="1"/>
    </xf>
    <xf numFmtId="170" fontId="0" fillId="0" borderId="0" xfId="0" applyNumberFormat="1"/>
    <xf numFmtId="0" fontId="13" fillId="20" borderId="28" xfId="0" applyFont="1" applyFill="1" applyBorder="1"/>
    <xf numFmtId="0" fontId="13" fillId="20" borderId="0" xfId="0" applyFont="1" applyFill="1"/>
    <xf numFmtId="0" fontId="4" fillId="0" borderId="34" xfId="0" applyFont="1" applyBorder="1"/>
    <xf numFmtId="169" fontId="0" fillId="0" borderId="54" xfId="0" applyNumberFormat="1" applyBorder="1"/>
    <xf numFmtId="11" fontId="0" fillId="0" borderId="54" xfId="0" applyNumberFormat="1" applyBorder="1"/>
    <xf numFmtId="0" fontId="13" fillId="20" borderId="42" xfId="0" applyFont="1" applyFill="1" applyBorder="1"/>
    <xf numFmtId="169" fontId="0" fillId="20" borderId="54" xfId="0" applyNumberFormat="1" applyFill="1" applyBorder="1"/>
    <xf numFmtId="0" fontId="13" fillId="20" borderId="43" xfId="0" applyFont="1" applyFill="1" applyBorder="1"/>
    <xf numFmtId="169" fontId="0" fillId="20" borderId="24" xfId="0" applyNumberFormat="1" applyFill="1" applyBorder="1"/>
    <xf numFmtId="0" fontId="0" fillId="20" borderId="34" xfId="0" applyFill="1" applyBorder="1"/>
    <xf numFmtId="0" fontId="0" fillId="11" borderId="24" xfId="0" applyFill="1" applyBorder="1"/>
    <xf numFmtId="0" fontId="0" fillId="11" borderId="34" xfId="0" applyFill="1" applyBorder="1"/>
    <xf numFmtId="0" fontId="0" fillId="21" borderId="0" xfId="0" applyFill="1"/>
    <xf numFmtId="0" fontId="0" fillId="21" borderId="0" xfId="0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7" fillId="8" borderId="15" xfId="0" applyFont="1" applyFill="1" applyBorder="1" applyAlignment="1">
      <alignment horizontal="left"/>
    </xf>
    <xf numFmtId="0" fontId="7" fillId="8" borderId="2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0" borderId="39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0" borderId="34" xfId="0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numFmt numFmtId="165" formatCode="0.000"/>
      <alignment horizontal="center" vertical="center" textRotation="0" wrapText="1" indent="0" justifyLastLine="0" shrinkToFit="0" readingOrder="0"/>
    </dxf>
    <dxf>
      <numFmt numFmtId="165" formatCode="0.000"/>
      <alignment horizontal="center" vertical="center" textRotation="0" wrapText="1" indent="0" justifyLastLine="0" shrinkToFit="0" readingOrder="0"/>
    </dxf>
    <dxf>
      <numFmt numFmtId="165" formatCode="0.000"/>
      <alignment horizontal="center" vertical="center" textRotation="0" wrapText="1" indent="0" justifyLastLine="0" shrinkToFit="0" readingOrder="0"/>
    </dxf>
    <dxf>
      <numFmt numFmtId="165" formatCode="0.000"/>
      <alignment horizontal="center" vertical="center" textRotation="0" wrapText="1" indent="0" justifyLastLine="0" shrinkToFit="0" readingOrder="0"/>
    </dxf>
    <dxf>
      <numFmt numFmtId="165" formatCode="0.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FFFF66"/>
      <color rgb="FFFAA3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Density variation</a:t>
            </a:r>
            <a:endParaRPr lang="el-GR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29247968403355"/>
          <c:y val="2.0609310756491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7542377432855061"/>
          <c:y val="0.13769183292502377"/>
          <c:w val="0.75497436490656933"/>
          <c:h val="0.661187799504402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'Manual rev.1'!$F$227</c:f>
              <c:strCache>
                <c:ptCount val="1"/>
                <c:pt idx="0">
                  <c:v>ρ/ρ0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'Manual rev.1'!$E$228:$E$237</c:f>
              <c:numCache>
                <c:formatCode>General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0.4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'Manual rev.1'!$F$228:$F$237</c:f>
              <c:numCache>
                <c:formatCode>General</c:formatCode>
                <c:ptCount val="10"/>
                <c:pt idx="0">
                  <c:v>0.99501744764400046</c:v>
                </c:pt>
                <c:pt idx="1">
                  <c:v>0.98883799942083594</c:v>
                </c:pt>
                <c:pt idx="2">
                  <c:v>0.96942099314119834</c:v>
                </c:pt>
                <c:pt idx="3">
                  <c:v>0.96185088330603818</c:v>
                </c:pt>
                <c:pt idx="4">
                  <c:v>0.95638015306690838</c:v>
                </c:pt>
                <c:pt idx="5">
                  <c:v>0.95058018276636214</c:v>
                </c:pt>
                <c:pt idx="6">
                  <c:v>0.92427404330578189</c:v>
                </c:pt>
                <c:pt idx="7">
                  <c:v>0.79157879136912335</c:v>
                </c:pt>
                <c:pt idx="8">
                  <c:v>0.73999238550892377</c:v>
                </c:pt>
                <c:pt idx="9">
                  <c:v>0.63393814526060888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5-478F-8138-D014632F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69264"/>
        <c:axId val="1860966544"/>
      </c:scatterChart>
      <c:valAx>
        <c:axId val="1860969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66544"/>
        <c:crosses val="autoZero"/>
        <c:crossBetween val="midCat"/>
        <c:majorUnit val="0.30000000000000004"/>
        <c:minorUnit val="0.30000000000000004"/>
      </c:valAx>
      <c:valAx>
        <c:axId val="186096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ptos Narrow" panose="020B0004020202020204" pitchFamily="34" charset="0"/>
                  </a:rPr>
                  <a:t>ρ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/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ρ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0B0004020202020204" pitchFamily="34" charset="0"/>
                  </a:rPr>
                  <a:t>0</a:t>
                </a:r>
                <a:endParaRPr lang="es-MX" sz="1000"/>
              </a:p>
            </c:rich>
          </c:tx>
          <c:layout>
            <c:manualLayout>
              <c:xMode val="edge"/>
              <c:yMode val="edge"/>
              <c:x val="3.0905583031765787E-5"/>
              <c:y val="0.3912097625601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6926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Curve Ogive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Geometry!$T$13:$T$22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Geometry!$U$13:$U$22</c:f>
              <c:numCache>
                <c:formatCode>General</c:formatCode>
                <c:ptCount val="10"/>
                <c:pt idx="0">
                  <c:v>0</c:v>
                </c:pt>
                <c:pt idx="1">
                  <c:v>0.80028140974278017</c:v>
                </c:pt>
                <c:pt idx="2">
                  <c:v>2.2227341724329506</c:v>
                </c:pt>
                <c:pt idx="3">
                  <c:v>3.4193360049676613</c:v>
                </c:pt>
                <c:pt idx="4">
                  <c:v>4.4013339085217069</c:v>
                </c:pt>
                <c:pt idx="5">
                  <c:v>5.1774045961570891</c:v>
                </c:pt>
                <c:pt idx="6">
                  <c:v>5.7540762469702145</c:v>
                </c:pt>
                <c:pt idx="7">
                  <c:v>6.1360215886791423</c:v>
                </c:pt>
                <c:pt idx="8">
                  <c:v>6.3262551688511195</c:v>
                </c:pt>
                <c:pt idx="9">
                  <c:v>6.3499999999999943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D-4A41-8FB3-D2AF21D4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0016"/>
        <c:axId val="196580560"/>
      </c:scatterChart>
      <c:valAx>
        <c:axId val="1965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0560"/>
        <c:crosses val="autoZero"/>
        <c:crossBetween val="midCat"/>
      </c:valAx>
      <c:valAx>
        <c:axId val="1965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Geometry x-y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Cone+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Geometry!$H$13:$H$22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Geometry!$I$13:$I$22</c:f>
              <c:numCache>
                <c:formatCode>General</c:formatCode>
                <c:ptCount val="10"/>
                <c:pt idx="0">
                  <c:v>0</c:v>
                </c:pt>
                <c:pt idx="1">
                  <c:v>0.39687499999999998</c:v>
                </c:pt>
                <c:pt idx="2">
                  <c:v>1.190625</c:v>
                </c:pt>
                <c:pt idx="3">
                  <c:v>1.984375</c:v>
                </c:pt>
                <c:pt idx="4">
                  <c:v>2.7781250000000002</c:v>
                </c:pt>
                <c:pt idx="5">
                  <c:v>3.5718749999999999</c:v>
                </c:pt>
                <c:pt idx="6">
                  <c:v>4.3656249999999996</c:v>
                </c:pt>
                <c:pt idx="7">
                  <c:v>5.1593749999999998</c:v>
                </c:pt>
                <c:pt idx="8">
                  <c:v>5.953125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B70-9D87-12CAE95793F9}"/>
            </c:ext>
          </c:extLst>
        </c:ser>
        <c:ser>
          <c:idx val="0"/>
          <c:order val="1"/>
          <c:tx>
            <c:v>Cone-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Geometry!$H$13:$H$22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Geometry!$J$13:$J$22</c:f>
              <c:numCache>
                <c:formatCode>General</c:formatCode>
                <c:ptCount val="10"/>
                <c:pt idx="0">
                  <c:v>0</c:v>
                </c:pt>
                <c:pt idx="1">
                  <c:v>-0.39687499999999998</c:v>
                </c:pt>
                <c:pt idx="2">
                  <c:v>-1.190625</c:v>
                </c:pt>
                <c:pt idx="3">
                  <c:v>-1.984375</c:v>
                </c:pt>
                <c:pt idx="4">
                  <c:v>-2.7781250000000002</c:v>
                </c:pt>
                <c:pt idx="5">
                  <c:v>-3.5718749999999999</c:v>
                </c:pt>
                <c:pt idx="6">
                  <c:v>-4.3656249999999996</c:v>
                </c:pt>
                <c:pt idx="7">
                  <c:v>-5.1593749999999998</c:v>
                </c:pt>
                <c:pt idx="8">
                  <c:v>-5.953125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F-4B70-9D87-12CAE95793F9}"/>
            </c:ext>
          </c:extLst>
        </c:ser>
        <c:ser>
          <c:idx val="2"/>
          <c:order val="2"/>
          <c:tx>
            <c:v>RT+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Geometry!$H$31:$H$40</c:f>
              <c:numCache>
                <c:formatCode>0.0</c:formatCode>
                <c:ptCount val="10"/>
                <c:pt idx="0" formatCode="General">
                  <c:v>30</c:v>
                </c:pt>
                <c:pt idx="1">
                  <c:v>36.25</c:v>
                </c:pt>
                <c:pt idx="2">
                  <c:v>48.75</c:v>
                </c:pt>
                <c:pt idx="3">
                  <c:v>61.25</c:v>
                </c:pt>
                <c:pt idx="4">
                  <c:v>73.75</c:v>
                </c:pt>
                <c:pt idx="5">
                  <c:v>86.25</c:v>
                </c:pt>
                <c:pt idx="6">
                  <c:v>98.75</c:v>
                </c:pt>
                <c:pt idx="7">
                  <c:v>111.25</c:v>
                </c:pt>
                <c:pt idx="8">
                  <c:v>123.75</c:v>
                </c:pt>
                <c:pt idx="9">
                  <c:v>130</c:v>
                </c:pt>
              </c:numCache>
            </c:numRef>
          </c:xVal>
          <c:yVal>
            <c:numRef>
              <c:f>Geometry!$I$31:$I$40</c:f>
              <c:numCache>
                <c:formatCode>General</c:formatCode>
                <c:ptCount val="10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6.35</c:v>
                </c:pt>
                <c:pt idx="4">
                  <c:v>6.35</c:v>
                </c:pt>
                <c:pt idx="5">
                  <c:v>6.35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F-4B70-9D87-12CAE95793F9}"/>
            </c:ext>
          </c:extLst>
        </c:ser>
        <c:ser>
          <c:idx val="3"/>
          <c:order val="3"/>
          <c:tx>
            <c:v>RT-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Geometry!$H$31:$H$40</c:f>
              <c:numCache>
                <c:formatCode>0.0</c:formatCode>
                <c:ptCount val="10"/>
                <c:pt idx="0" formatCode="General">
                  <c:v>30</c:v>
                </c:pt>
                <c:pt idx="1">
                  <c:v>36.25</c:v>
                </c:pt>
                <c:pt idx="2">
                  <c:v>48.75</c:v>
                </c:pt>
                <c:pt idx="3">
                  <c:v>61.25</c:v>
                </c:pt>
                <c:pt idx="4">
                  <c:v>73.75</c:v>
                </c:pt>
                <c:pt idx="5">
                  <c:v>86.25</c:v>
                </c:pt>
                <c:pt idx="6">
                  <c:v>98.75</c:v>
                </c:pt>
                <c:pt idx="7">
                  <c:v>111.25</c:v>
                </c:pt>
                <c:pt idx="8">
                  <c:v>123.75</c:v>
                </c:pt>
                <c:pt idx="9">
                  <c:v>130</c:v>
                </c:pt>
              </c:numCache>
            </c:numRef>
          </c:xVal>
          <c:yVal>
            <c:numRef>
              <c:f>Geometry!$J$31:$J$40</c:f>
              <c:numCache>
                <c:formatCode>General</c:formatCode>
                <c:ptCount val="10"/>
                <c:pt idx="0">
                  <c:v>-6.35</c:v>
                </c:pt>
                <c:pt idx="1">
                  <c:v>-6.35</c:v>
                </c:pt>
                <c:pt idx="2">
                  <c:v>-6.35</c:v>
                </c:pt>
                <c:pt idx="3">
                  <c:v>-6.35</c:v>
                </c:pt>
                <c:pt idx="4">
                  <c:v>-6.35</c:v>
                </c:pt>
                <c:pt idx="5">
                  <c:v>-6.35</c:v>
                </c:pt>
                <c:pt idx="6">
                  <c:v>-6.35</c:v>
                </c:pt>
                <c:pt idx="7">
                  <c:v>-6.35</c:v>
                </c:pt>
                <c:pt idx="8">
                  <c:v>-6.35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F-4B70-9D87-12CAE95793F9}"/>
            </c:ext>
          </c:extLst>
        </c:ser>
        <c:ser>
          <c:idx val="4"/>
          <c:order val="4"/>
          <c:tx>
            <c:v>FUP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Geometry!$I$50:$I$59</c:f>
              <c:numCache>
                <c:formatCode>0.000</c:formatCode>
                <c:ptCount val="10"/>
                <c:pt idx="0">
                  <c:v>6.35</c:v>
                </c:pt>
                <c:pt idx="1">
                  <c:v>10.1</c:v>
                </c:pt>
                <c:pt idx="2">
                  <c:v>17.600000000000001</c:v>
                </c:pt>
                <c:pt idx="3">
                  <c:v>25.1</c:v>
                </c:pt>
                <c:pt idx="4">
                  <c:v>26.35</c:v>
                </c:pt>
                <c:pt idx="5">
                  <c:v>26.35</c:v>
                </c:pt>
                <c:pt idx="6">
                  <c:v>26.35</c:v>
                </c:pt>
                <c:pt idx="7">
                  <c:v>26.35</c:v>
                </c:pt>
                <c:pt idx="8">
                  <c:v>26.35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1F-4B70-9D87-12CAE95793F9}"/>
            </c:ext>
          </c:extLst>
        </c:ser>
        <c:ser>
          <c:idx val="5"/>
          <c:order val="5"/>
          <c:tx>
            <c:v>FDN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Geometry!$J$50:$J$59</c:f>
              <c:numCache>
                <c:formatCode>0.000</c:formatCode>
                <c:ptCount val="10"/>
                <c:pt idx="0">
                  <c:v>-6.35</c:v>
                </c:pt>
                <c:pt idx="1">
                  <c:v>-10.1</c:v>
                </c:pt>
                <c:pt idx="2">
                  <c:v>-17.600000000000001</c:v>
                </c:pt>
                <c:pt idx="3">
                  <c:v>-25.1</c:v>
                </c:pt>
                <c:pt idx="4">
                  <c:v>-26.35</c:v>
                </c:pt>
                <c:pt idx="5">
                  <c:v>-26.35</c:v>
                </c:pt>
                <c:pt idx="6">
                  <c:v>-26.35</c:v>
                </c:pt>
                <c:pt idx="7">
                  <c:v>-26.35</c:v>
                </c:pt>
                <c:pt idx="8">
                  <c:v>-26.35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1F-4B70-9D87-12CAE95793F9}"/>
            </c:ext>
          </c:extLst>
        </c:ser>
        <c:ser>
          <c:idx val="6"/>
          <c:order val="6"/>
          <c:tx>
            <c:v>BT+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Geometry!$H$88:$H$98</c:f>
              <c:numCache>
                <c:formatCode>0.00</c:formatCode>
                <c:ptCount val="11"/>
                <c:pt idx="0">
                  <c:v>130</c:v>
                </c:pt>
                <c:pt idx="1">
                  <c:v>130.5</c:v>
                </c:pt>
                <c:pt idx="2">
                  <c:v>131.5</c:v>
                </c:pt>
                <c:pt idx="3">
                  <c:v>132.5</c:v>
                </c:pt>
                <c:pt idx="4">
                  <c:v>133.5</c:v>
                </c:pt>
                <c:pt idx="5">
                  <c:v>134.5</c:v>
                </c:pt>
                <c:pt idx="6">
                  <c:v>135.5</c:v>
                </c:pt>
                <c:pt idx="7">
                  <c:v>136.5</c:v>
                </c:pt>
                <c:pt idx="8">
                  <c:v>137.5</c:v>
                </c:pt>
                <c:pt idx="9">
                  <c:v>138</c:v>
                </c:pt>
                <c:pt idx="10">
                  <c:v>138</c:v>
                </c:pt>
              </c:numCache>
            </c:numRef>
          </c:xVal>
          <c:yVal>
            <c:numRef>
              <c:f>Geometry!$I$88:$I$98</c:f>
              <c:numCache>
                <c:formatCode>0.00</c:formatCode>
                <c:ptCount val="11"/>
                <c:pt idx="0">
                  <c:v>6.35</c:v>
                </c:pt>
                <c:pt idx="1">
                  <c:v>6.09375</c:v>
                </c:pt>
                <c:pt idx="2">
                  <c:v>5.5812499999999998</c:v>
                </c:pt>
                <c:pt idx="3">
                  <c:v>5.0687499999999996</c:v>
                </c:pt>
                <c:pt idx="4">
                  <c:v>4.5562500000000004</c:v>
                </c:pt>
                <c:pt idx="5">
                  <c:v>4.0437499999999993</c:v>
                </c:pt>
                <c:pt idx="6">
                  <c:v>3.53125</c:v>
                </c:pt>
                <c:pt idx="7">
                  <c:v>3.0187499999999998</c:v>
                </c:pt>
                <c:pt idx="8">
                  <c:v>2.5062500000000001</c:v>
                </c:pt>
                <c:pt idx="9">
                  <c:v>2.25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1F-4B70-9D87-12CAE95793F9}"/>
            </c:ext>
          </c:extLst>
        </c:ser>
        <c:ser>
          <c:idx val="7"/>
          <c:order val="7"/>
          <c:tx>
            <c:v>BT-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Geometry!$H$88:$H$98</c:f>
              <c:numCache>
                <c:formatCode>0.00</c:formatCode>
                <c:ptCount val="11"/>
                <c:pt idx="0">
                  <c:v>130</c:v>
                </c:pt>
                <c:pt idx="1">
                  <c:v>130.5</c:v>
                </c:pt>
                <c:pt idx="2">
                  <c:v>131.5</c:v>
                </c:pt>
                <c:pt idx="3">
                  <c:v>132.5</c:v>
                </c:pt>
                <c:pt idx="4">
                  <c:v>133.5</c:v>
                </c:pt>
                <c:pt idx="5">
                  <c:v>134.5</c:v>
                </c:pt>
                <c:pt idx="6">
                  <c:v>135.5</c:v>
                </c:pt>
                <c:pt idx="7">
                  <c:v>136.5</c:v>
                </c:pt>
                <c:pt idx="8">
                  <c:v>137.5</c:v>
                </c:pt>
                <c:pt idx="9">
                  <c:v>138</c:v>
                </c:pt>
                <c:pt idx="10">
                  <c:v>138</c:v>
                </c:pt>
              </c:numCache>
            </c:numRef>
          </c:xVal>
          <c:yVal>
            <c:numRef>
              <c:f>Geometry!$J$88:$J$98</c:f>
              <c:numCache>
                <c:formatCode>0.00</c:formatCode>
                <c:ptCount val="11"/>
                <c:pt idx="0">
                  <c:v>-6.35</c:v>
                </c:pt>
                <c:pt idx="1">
                  <c:v>-6.09375</c:v>
                </c:pt>
                <c:pt idx="2">
                  <c:v>-5.5812499999999998</c:v>
                </c:pt>
                <c:pt idx="3">
                  <c:v>-5.0687499999999996</c:v>
                </c:pt>
                <c:pt idx="4">
                  <c:v>-4.5562500000000004</c:v>
                </c:pt>
                <c:pt idx="5">
                  <c:v>-4.0437499999999993</c:v>
                </c:pt>
                <c:pt idx="6">
                  <c:v>-3.53125</c:v>
                </c:pt>
                <c:pt idx="7">
                  <c:v>-3.0187499999999998</c:v>
                </c:pt>
                <c:pt idx="8">
                  <c:v>-2.5062500000000001</c:v>
                </c:pt>
                <c:pt idx="9">
                  <c:v>-2.25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1F-4B70-9D87-12CAE95793F9}"/>
            </c:ext>
          </c:extLst>
        </c:ser>
        <c:ser>
          <c:idx val="8"/>
          <c:order val="8"/>
          <c:tx>
            <c:v>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22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'Forces balance'!$D$17:$D$28</c:f>
              <c:numCache>
                <c:formatCode>General</c:formatCode>
                <c:ptCount val="12"/>
                <c:pt idx="0">
                  <c:v>20</c:v>
                </c:pt>
                <c:pt idx="1">
                  <c:v>80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0</c:v>
                </c:pt>
                <c:pt idx="7">
                  <c:v>40</c:v>
                </c:pt>
                <c:pt idx="8">
                  <c:v>60</c:v>
                </c:pt>
                <c:pt idx="9">
                  <c:v>120</c:v>
                </c:pt>
                <c:pt idx="10">
                  <c:v>25</c:v>
                </c:pt>
                <c:pt idx="11" formatCode="0.000">
                  <c:v>58.959825599501713</c:v>
                </c:pt>
              </c:numCache>
            </c:numRef>
          </c:xVal>
          <c:yVal>
            <c:numRef>
              <c:f>'Forces balance'!$E$17:$E$28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1.6</c:v>
                </c:pt>
                <c:pt idx="9">
                  <c:v>0</c:v>
                </c:pt>
                <c:pt idx="10">
                  <c:v>0</c:v>
                </c:pt>
                <c:pt idx="11" formatCode="0.000">
                  <c:v>0.40485829959514169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1F-4B70-9D87-12CAE95793F9}"/>
            </c:ext>
          </c:extLst>
        </c:ser>
        <c:ser>
          <c:idx val="9"/>
          <c:order val="9"/>
          <c:tx>
            <c:v>RocketCG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'Forces balance'!$D$28</c:f>
              <c:numCache>
                <c:formatCode>0.000</c:formatCode>
                <c:ptCount val="1"/>
                <c:pt idx="0">
                  <c:v>58.959825599501713</c:v>
                </c:pt>
              </c:numCache>
            </c:numRef>
          </c:xVal>
          <c:yVal>
            <c:numRef>
              <c:f>'Forces balance'!$E$28</c:f>
              <c:numCache>
                <c:formatCode>0.000</c:formatCode>
                <c:ptCount val="1"/>
                <c:pt idx="0">
                  <c:v>0.40485829959514169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1F-4B70-9D87-12CAE957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4912"/>
        <c:axId val="196581104"/>
      </c:scatterChart>
      <c:valAx>
        <c:axId val="1965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1104"/>
        <c:crosses val="autoZero"/>
        <c:crossBetween val="midCat"/>
      </c:valAx>
      <c:valAx>
        <c:axId val="1965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Geometry x-z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Cone+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Geometry!$H$13:$H$22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Geometry!$I$13:$I$22</c:f>
              <c:numCache>
                <c:formatCode>General</c:formatCode>
                <c:ptCount val="10"/>
                <c:pt idx="0">
                  <c:v>0</c:v>
                </c:pt>
                <c:pt idx="1">
                  <c:v>0.39687499999999998</c:v>
                </c:pt>
                <c:pt idx="2">
                  <c:v>1.190625</c:v>
                </c:pt>
                <c:pt idx="3">
                  <c:v>1.984375</c:v>
                </c:pt>
                <c:pt idx="4">
                  <c:v>2.7781250000000002</c:v>
                </c:pt>
                <c:pt idx="5">
                  <c:v>3.5718749999999999</c:v>
                </c:pt>
                <c:pt idx="6">
                  <c:v>4.3656249999999996</c:v>
                </c:pt>
                <c:pt idx="7">
                  <c:v>5.1593749999999998</c:v>
                </c:pt>
                <c:pt idx="8">
                  <c:v>5.953125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2-4686-BBBE-06C2AAA143DE}"/>
            </c:ext>
          </c:extLst>
        </c:ser>
        <c:ser>
          <c:idx val="0"/>
          <c:order val="1"/>
          <c:tx>
            <c:v>Cone-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Geometry!$H$13:$H$22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Geometry!$J$13:$J$22</c:f>
              <c:numCache>
                <c:formatCode>General</c:formatCode>
                <c:ptCount val="10"/>
                <c:pt idx="0">
                  <c:v>0</c:v>
                </c:pt>
                <c:pt idx="1">
                  <c:v>-0.39687499999999998</c:v>
                </c:pt>
                <c:pt idx="2">
                  <c:v>-1.190625</c:v>
                </c:pt>
                <c:pt idx="3">
                  <c:v>-1.984375</c:v>
                </c:pt>
                <c:pt idx="4">
                  <c:v>-2.7781250000000002</c:v>
                </c:pt>
                <c:pt idx="5">
                  <c:v>-3.5718749999999999</c:v>
                </c:pt>
                <c:pt idx="6">
                  <c:v>-4.3656249999999996</c:v>
                </c:pt>
                <c:pt idx="7">
                  <c:v>-5.1593749999999998</c:v>
                </c:pt>
                <c:pt idx="8">
                  <c:v>-5.953125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2-4686-BBBE-06C2AAA143DE}"/>
            </c:ext>
          </c:extLst>
        </c:ser>
        <c:ser>
          <c:idx val="2"/>
          <c:order val="2"/>
          <c:tx>
            <c:v>RT+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Geometry!$H$31:$H$40</c:f>
              <c:numCache>
                <c:formatCode>0.0</c:formatCode>
                <c:ptCount val="10"/>
                <c:pt idx="0" formatCode="General">
                  <c:v>30</c:v>
                </c:pt>
                <c:pt idx="1">
                  <c:v>36.25</c:v>
                </c:pt>
                <c:pt idx="2">
                  <c:v>48.75</c:v>
                </c:pt>
                <c:pt idx="3">
                  <c:v>61.25</c:v>
                </c:pt>
                <c:pt idx="4">
                  <c:v>73.75</c:v>
                </c:pt>
                <c:pt idx="5">
                  <c:v>86.25</c:v>
                </c:pt>
                <c:pt idx="6">
                  <c:v>98.75</c:v>
                </c:pt>
                <c:pt idx="7">
                  <c:v>111.25</c:v>
                </c:pt>
                <c:pt idx="8">
                  <c:v>123.75</c:v>
                </c:pt>
                <c:pt idx="9">
                  <c:v>130</c:v>
                </c:pt>
              </c:numCache>
            </c:numRef>
          </c:xVal>
          <c:yVal>
            <c:numRef>
              <c:f>Geometry!$I$31:$I$40</c:f>
              <c:numCache>
                <c:formatCode>General</c:formatCode>
                <c:ptCount val="10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6.35</c:v>
                </c:pt>
                <c:pt idx="4">
                  <c:v>6.35</c:v>
                </c:pt>
                <c:pt idx="5">
                  <c:v>6.35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2-4686-BBBE-06C2AAA143DE}"/>
            </c:ext>
          </c:extLst>
        </c:ser>
        <c:ser>
          <c:idx val="3"/>
          <c:order val="3"/>
          <c:tx>
            <c:v>RT-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Geometry!$H$31:$H$40</c:f>
              <c:numCache>
                <c:formatCode>0.0</c:formatCode>
                <c:ptCount val="10"/>
                <c:pt idx="0" formatCode="General">
                  <c:v>30</c:v>
                </c:pt>
                <c:pt idx="1">
                  <c:v>36.25</c:v>
                </c:pt>
                <c:pt idx="2">
                  <c:v>48.75</c:v>
                </c:pt>
                <c:pt idx="3">
                  <c:v>61.25</c:v>
                </c:pt>
                <c:pt idx="4">
                  <c:v>73.75</c:v>
                </c:pt>
                <c:pt idx="5">
                  <c:v>86.25</c:v>
                </c:pt>
                <c:pt idx="6">
                  <c:v>98.75</c:v>
                </c:pt>
                <c:pt idx="7">
                  <c:v>111.25</c:v>
                </c:pt>
                <c:pt idx="8">
                  <c:v>123.75</c:v>
                </c:pt>
                <c:pt idx="9">
                  <c:v>130</c:v>
                </c:pt>
              </c:numCache>
            </c:numRef>
          </c:xVal>
          <c:yVal>
            <c:numRef>
              <c:f>Geometry!$J$31:$J$40</c:f>
              <c:numCache>
                <c:formatCode>General</c:formatCode>
                <c:ptCount val="10"/>
                <c:pt idx="0">
                  <c:v>-6.35</c:v>
                </c:pt>
                <c:pt idx="1">
                  <c:v>-6.35</c:v>
                </c:pt>
                <c:pt idx="2">
                  <c:v>-6.35</c:v>
                </c:pt>
                <c:pt idx="3">
                  <c:v>-6.35</c:v>
                </c:pt>
                <c:pt idx="4">
                  <c:v>-6.35</c:v>
                </c:pt>
                <c:pt idx="5">
                  <c:v>-6.35</c:v>
                </c:pt>
                <c:pt idx="6">
                  <c:v>-6.35</c:v>
                </c:pt>
                <c:pt idx="7">
                  <c:v>-6.35</c:v>
                </c:pt>
                <c:pt idx="8">
                  <c:v>-6.35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2-4686-BBBE-06C2AAA143DE}"/>
            </c:ext>
          </c:extLst>
        </c:ser>
        <c:ser>
          <c:idx val="4"/>
          <c:order val="4"/>
          <c:tx>
            <c:v>FUP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Geometry!$I$50:$I$59</c:f>
              <c:numCache>
                <c:formatCode>0.000</c:formatCode>
                <c:ptCount val="10"/>
                <c:pt idx="0">
                  <c:v>6.35</c:v>
                </c:pt>
                <c:pt idx="1">
                  <c:v>10.1</c:v>
                </c:pt>
                <c:pt idx="2">
                  <c:v>17.600000000000001</c:v>
                </c:pt>
                <c:pt idx="3">
                  <c:v>25.1</c:v>
                </c:pt>
                <c:pt idx="4">
                  <c:v>26.35</c:v>
                </c:pt>
                <c:pt idx="5">
                  <c:v>26.35</c:v>
                </c:pt>
                <c:pt idx="6">
                  <c:v>26.35</c:v>
                </c:pt>
                <c:pt idx="7">
                  <c:v>26.35</c:v>
                </c:pt>
                <c:pt idx="8">
                  <c:v>26.35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12-4686-BBBE-06C2AAA143DE}"/>
            </c:ext>
          </c:extLst>
        </c:ser>
        <c:ser>
          <c:idx val="5"/>
          <c:order val="5"/>
          <c:tx>
            <c:v>FDN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Geometry!$J$50:$J$59</c:f>
              <c:numCache>
                <c:formatCode>0.000</c:formatCode>
                <c:ptCount val="10"/>
                <c:pt idx="0">
                  <c:v>-6.35</c:v>
                </c:pt>
                <c:pt idx="1">
                  <c:v>-10.1</c:v>
                </c:pt>
                <c:pt idx="2">
                  <c:v>-17.600000000000001</c:v>
                </c:pt>
                <c:pt idx="3">
                  <c:v>-25.1</c:v>
                </c:pt>
                <c:pt idx="4">
                  <c:v>-26.35</c:v>
                </c:pt>
                <c:pt idx="5">
                  <c:v>-26.35</c:v>
                </c:pt>
                <c:pt idx="6">
                  <c:v>-26.35</c:v>
                </c:pt>
                <c:pt idx="7">
                  <c:v>-26.35</c:v>
                </c:pt>
                <c:pt idx="8">
                  <c:v>-26.35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12-4686-BBBE-06C2AAA143DE}"/>
            </c:ext>
          </c:extLst>
        </c:ser>
        <c:ser>
          <c:idx val="6"/>
          <c:order val="6"/>
          <c:tx>
            <c:v>BT+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Geometry!$H$88:$H$98</c:f>
              <c:numCache>
                <c:formatCode>0.00</c:formatCode>
                <c:ptCount val="11"/>
                <c:pt idx="0">
                  <c:v>130</c:v>
                </c:pt>
                <c:pt idx="1">
                  <c:v>130.5</c:v>
                </c:pt>
                <c:pt idx="2">
                  <c:v>131.5</c:v>
                </c:pt>
                <c:pt idx="3">
                  <c:v>132.5</c:v>
                </c:pt>
                <c:pt idx="4">
                  <c:v>133.5</c:v>
                </c:pt>
                <c:pt idx="5">
                  <c:v>134.5</c:v>
                </c:pt>
                <c:pt idx="6">
                  <c:v>135.5</c:v>
                </c:pt>
                <c:pt idx="7">
                  <c:v>136.5</c:v>
                </c:pt>
                <c:pt idx="8">
                  <c:v>137.5</c:v>
                </c:pt>
                <c:pt idx="9">
                  <c:v>138</c:v>
                </c:pt>
                <c:pt idx="10">
                  <c:v>138</c:v>
                </c:pt>
              </c:numCache>
            </c:numRef>
          </c:xVal>
          <c:yVal>
            <c:numRef>
              <c:f>Geometry!$I$88:$I$98</c:f>
              <c:numCache>
                <c:formatCode>0.00</c:formatCode>
                <c:ptCount val="11"/>
                <c:pt idx="0">
                  <c:v>6.35</c:v>
                </c:pt>
                <c:pt idx="1">
                  <c:v>6.09375</c:v>
                </c:pt>
                <c:pt idx="2">
                  <c:v>5.5812499999999998</c:v>
                </c:pt>
                <c:pt idx="3">
                  <c:v>5.0687499999999996</c:v>
                </c:pt>
                <c:pt idx="4">
                  <c:v>4.5562500000000004</c:v>
                </c:pt>
                <c:pt idx="5">
                  <c:v>4.0437499999999993</c:v>
                </c:pt>
                <c:pt idx="6">
                  <c:v>3.53125</c:v>
                </c:pt>
                <c:pt idx="7">
                  <c:v>3.0187499999999998</c:v>
                </c:pt>
                <c:pt idx="8">
                  <c:v>2.5062500000000001</c:v>
                </c:pt>
                <c:pt idx="9">
                  <c:v>2.25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12-4686-BBBE-06C2AAA143DE}"/>
            </c:ext>
          </c:extLst>
        </c:ser>
        <c:ser>
          <c:idx val="7"/>
          <c:order val="7"/>
          <c:tx>
            <c:v>BT-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Geometry!$H$88:$H$98</c:f>
              <c:numCache>
                <c:formatCode>0.00</c:formatCode>
                <c:ptCount val="11"/>
                <c:pt idx="0">
                  <c:v>130</c:v>
                </c:pt>
                <c:pt idx="1">
                  <c:v>130.5</c:v>
                </c:pt>
                <c:pt idx="2">
                  <c:v>131.5</c:v>
                </c:pt>
                <c:pt idx="3">
                  <c:v>132.5</c:v>
                </c:pt>
                <c:pt idx="4">
                  <c:v>133.5</c:v>
                </c:pt>
                <c:pt idx="5">
                  <c:v>134.5</c:v>
                </c:pt>
                <c:pt idx="6">
                  <c:v>135.5</c:v>
                </c:pt>
                <c:pt idx="7">
                  <c:v>136.5</c:v>
                </c:pt>
                <c:pt idx="8">
                  <c:v>137.5</c:v>
                </c:pt>
                <c:pt idx="9">
                  <c:v>138</c:v>
                </c:pt>
                <c:pt idx="10">
                  <c:v>138</c:v>
                </c:pt>
              </c:numCache>
            </c:numRef>
          </c:xVal>
          <c:yVal>
            <c:numRef>
              <c:f>Geometry!$J$88:$J$98</c:f>
              <c:numCache>
                <c:formatCode>0.00</c:formatCode>
                <c:ptCount val="11"/>
                <c:pt idx="0">
                  <c:v>-6.35</c:v>
                </c:pt>
                <c:pt idx="1">
                  <c:v>-6.09375</c:v>
                </c:pt>
                <c:pt idx="2">
                  <c:v>-5.5812499999999998</c:v>
                </c:pt>
                <c:pt idx="3">
                  <c:v>-5.0687499999999996</c:v>
                </c:pt>
                <c:pt idx="4">
                  <c:v>-4.5562500000000004</c:v>
                </c:pt>
                <c:pt idx="5">
                  <c:v>-4.0437499999999993</c:v>
                </c:pt>
                <c:pt idx="6">
                  <c:v>-3.53125</c:v>
                </c:pt>
                <c:pt idx="7">
                  <c:v>-3.0187499999999998</c:v>
                </c:pt>
                <c:pt idx="8">
                  <c:v>-2.5062500000000001</c:v>
                </c:pt>
                <c:pt idx="9">
                  <c:v>-2.25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12-4686-BBBE-06C2AAA143DE}"/>
            </c:ext>
          </c:extLst>
        </c:ser>
        <c:ser>
          <c:idx val="8"/>
          <c:order val="8"/>
          <c:tx>
            <c:v>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'Forces balance'!$D$17:$D$28</c:f>
              <c:numCache>
                <c:formatCode>General</c:formatCode>
                <c:ptCount val="12"/>
                <c:pt idx="0">
                  <c:v>20</c:v>
                </c:pt>
                <c:pt idx="1">
                  <c:v>80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0</c:v>
                </c:pt>
                <c:pt idx="7">
                  <c:v>40</c:v>
                </c:pt>
                <c:pt idx="8">
                  <c:v>60</c:v>
                </c:pt>
                <c:pt idx="9">
                  <c:v>120</c:v>
                </c:pt>
                <c:pt idx="10">
                  <c:v>25</c:v>
                </c:pt>
                <c:pt idx="11" formatCode="0.000">
                  <c:v>58.959825599501713</c:v>
                </c:pt>
              </c:numCache>
            </c:numRef>
          </c:xVal>
          <c:yVal>
            <c:numRef>
              <c:f>'Forces balance'!$F$17:$F$28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-6</c:v>
                </c:pt>
                <c:pt idx="6">
                  <c:v>0</c:v>
                </c:pt>
                <c:pt idx="7">
                  <c:v>-1</c:v>
                </c:pt>
                <c:pt idx="8">
                  <c:v>-0.4</c:v>
                </c:pt>
                <c:pt idx="9">
                  <c:v>0</c:v>
                </c:pt>
                <c:pt idx="10">
                  <c:v>0</c:v>
                </c:pt>
                <c:pt idx="11" formatCode="0.000">
                  <c:v>-0.16194331983805668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0-4305-BDF2-1B159997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1648"/>
        <c:axId val="196584368"/>
      </c:scatterChart>
      <c:valAx>
        <c:axId val="1965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4368"/>
        <c:crosses val="autoZero"/>
        <c:crossBetween val="midCat"/>
      </c:valAx>
      <c:valAx>
        <c:axId val="1965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z-axis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Derivatives due Mach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'FinAeroDesign 2.0'!$A$172:$A$181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'FinAeroDesign 2.0'!$B$172:$B$181</c:f>
              <c:numCache>
                <c:formatCode>0.00000</c:formatCode>
                <c:ptCount val="10"/>
                <c:pt idx="0">
                  <c:v>1.7811871342984904</c:v>
                </c:pt>
                <c:pt idx="1">
                  <c:v>1.7868999999999999</c:v>
                </c:pt>
                <c:pt idx="2">
                  <c:v>1.8637999999999999</c:v>
                </c:pt>
                <c:pt idx="3">
                  <c:v>2.0529999999999999</c:v>
                </c:pt>
                <c:pt idx="4">
                  <c:v>2.4897</c:v>
                </c:pt>
                <c:pt idx="5">
                  <c:v>28.213824634343929</c:v>
                </c:pt>
                <c:pt idx="6">
                  <c:v>3.5777000000000001</c:v>
                </c:pt>
                <c:pt idx="7">
                  <c:v>2.3094000000000001</c:v>
                </c:pt>
                <c:pt idx="8">
                  <c:v>1.4141999999999999</c:v>
                </c:pt>
                <c:pt idx="9">
                  <c:v>0.8165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B-4ED2-8503-93469886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5456"/>
        <c:axId val="196586544"/>
      </c:scatterChart>
      <c:valAx>
        <c:axId val="1965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Mach numb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6544"/>
        <c:crosses val="autoZero"/>
        <c:crossBetween val="midCat"/>
      </c:valAx>
      <c:valAx>
        <c:axId val="1965865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dCL/dAoA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Cm,q derivative due Mach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'FinAeroDesign 2.0'!$A$228:$A$237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'FinAeroDesign 2.0'!$B$228:$B$237</c:f>
              <c:numCache>
                <c:formatCode>0.000000</c:formatCode>
                <c:ptCount val="10"/>
                <c:pt idx="0">
                  <c:v>-3.957435565420617E-3</c:v>
                </c:pt>
                <c:pt idx="1">
                  <c:v>-1.0587217785124063E-3</c:v>
                </c:pt>
                <c:pt idx="2">
                  <c:v>-2.3663117870606997E-4</c:v>
                </c:pt>
                <c:pt idx="3">
                  <c:v>-1.1523587839424864E-4</c:v>
                </c:pt>
                <c:pt idx="4">
                  <c:v>-7.9021921140809409E-5</c:v>
                </c:pt>
                <c:pt idx="5">
                  <c:v>-5.1877556177959536E-4</c:v>
                </c:pt>
                <c:pt idx="6">
                  <c:v>-3.1795765043958875E-4</c:v>
                </c:pt>
                <c:pt idx="7">
                  <c:v>-6.841359360843149E-5</c:v>
                </c:pt>
                <c:pt idx="8">
                  <c:v>-1.795482812258461E-5</c:v>
                </c:pt>
                <c:pt idx="9">
                  <c:v>-4.5829625651869788E-6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416D-9CD1-45AD3E75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9472"/>
        <c:axId val="196582192"/>
      </c:scatterChart>
      <c:valAx>
        <c:axId val="1965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2192"/>
        <c:crosses val="autoZero"/>
        <c:crossBetween val="midCat"/>
      </c:valAx>
      <c:valAx>
        <c:axId val="1965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Cm,AoA derivative due Mach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'FinAeroDesign 2.0'!$A$240:$A$249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'FinAeroDesign 2.0'!$B$240:$B$249</c:f>
              <c:numCache>
                <c:formatCode>0.000</c:formatCode>
                <c:ptCount val="10"/>
                <c:pt idx="0">
                  <c:v>0.42414518635482801</c:v>
                </c:pt>
                <c:pt idx="1">
                  <c:v>0.42551395211156007</c:v>
                </c:pt>
                <c:pt idx="2">
                  <c:v>0.4438239208910964</c:v>
                </c:pt>
                <c:pt idx="3">
                  <c:v>0.48887831097616802</c:v>
                </c:pt>
                <c:pt idx="4">
                  <c:v>0.59285203359655836</c:v>
                </c:pt>
                <c:pt idx="5">
                  <c:v>6.7184169910531475</c:v>
                </c:pt>
                <c:pt idx="6">
                  <c:v>0.85194189942741982</c:v>
                </c:pt>
                <c:pt idx="7">
                  <c:v>0.54992613140311863</c:v>
                </c:pt>
                <c:pt idx="8">
                  <c:v>0.33675960454009318</c:v>
                </c:pt>
                <c:pt idx="9">
                  <c:v>0.19442824833341479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E-4C77-A1C3-333835E35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2736"/>
        <c:axId val="196583280"/>
      </c:scatterChart>
      <c:valAx>
        <c:axId val="1965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3280"/>
        <c:crosses val="autoZero"/>
        <c:crossBetween val="midCat"/>
      </c:valAx>
      <c:valAx>
        <c:axId val="196583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5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RocketData!$B$6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RocketData!$A$7:$A$31</c:f>
              <c:numCache>
                <c:formatCode>General</c:formatCode>
                <c:ptCount val="25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</c:numCache>
            </c:numRef>
          </c:xVal>
          <c:yVal>
            <c:numRef>
              <c:f>RocketData!$B$7:$B$31</c:f>
              <c:numCache>
                <c:formatCode>General</c:formatCode>
                <c:ptCount val="25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2.0499999999999998</c:v>
                </c:pt>
                <c:pt idx="5">
                  <c:v>2.06</c:v>
                </c:pt>
                <c:pt idx="6">
                  <c:v>2.1</c:v>
                </c:pt>
                <c:pt idx="7">
                  <c:v>2.16</c:v>
                </c:pt>
                <c:pt idx="8">
                  <c:v>2.2999999999999998</c:v>
                </c:pt>
                <c:pt idx="9">
                  <c:v>2.36</c:v>
                </c:pt>
                <c:pt idx="10">
                  <c:v>2.4</c:v>
                </c:pt>
                <c:pt idx="11">
                  <c:v>2.38</c:v>
                </c:pt>
                <c:pt idx="12">
                  <c:v>2.37</c:v>
                </c:pt>
                <c:pt idx="13">
                  <c:v>2.35</c:v>
                </c:pt>
                <c:pt idx="14">
                  <c:v>2.35</c:v>
                </c:pt>
                <c:pt idx="15">
                  <c:v>2.35</c:v>
                </c:pt>
                <c:pt idx="16">
                  <c:v>2.37</c:v>
                </c:pt>
                <c:pt idx="17">
                  <c:v>2.4</c:v>
                </c:pt>
                <c:pt idx="18">
                  <c:v>2.42</c:v>
                </c:pt>
                <c:pt idx="19">
                  <c:v>2.4500000000000002</c:v>
                </c:pt>
                <c:pt idx="20">
                  <c:v>2.48</c:v>
                </c:pt>
                <c:pt idx="21">
                  <c:v>2.5099999999999998</c:v>
                </c:pt>
                <c:pt idx="22">
                  <c:v>2.5299999999999998</c:v>
                </c:pt>
                <c:pt idx="23">
                  <c:v>2.56</c:v>
                </c:pt>
                <c:pt idx="24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B-4DC4-83B5-80F0950FA526}"/>
            </c:ext>
          </c:extLst>
        </c:ser>
        <c:ser>
          <c:idx val="1"/>
          <c:order val="1"/>
          <c:tx>
            <c:strRef>
              <c:f>RocketData!$C$6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RocketData!$A$7:$A$31</c:f>
              <c:numCache>
                <c:formatCode>General</c:formatCode>
                <c:ptCount val="25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</c:numCache>
            </c:numRef>
          </c:xVal>
          <c:yVal>
            <c:numRef>
              <c:f>RocketData!$C$7:$C$31</c:f>
              <c:numCache>
                <c:formatCode>General</c:formatCode>
                <c:ptCount val="25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2.0499999999999998</c:v>
                </c:pt>
                <c:pt idx="5">
                  <c:v>2.06</c:v>
                </c:pt>
                <c:pt idx="6">
                  <c:v>2.1</c:v>
                </c:pt>
                <c:pt idx="7">
                  <c:v>2.16</c:v>
                </c:pt>
                <c:pt idx="8">
                  <c:v>2.2999999999999998</c:v>
                </c:pt>
                <c:pt idx="9">
                  <c:v>2.36</c:v>
                </c:pt>
                <c:pt idx="10">
                  <c:v>2.4</c:v>
                </c:pt>
                <c:pt idx="11">
                  <c:v>2.37</c:v>
                </c:pt>
                <c:pt idx="12">
                  <c:v>2.3199999999999998</c:v>
                </c:pt>
                <c:pt idx="13">
                  <c:v>2.27</c:v>
                </c:pt>
                <c:pt idx="14">
                  <c:v>2.25</c:v>
                </c:pt>
                <c:pt idx="15">
                  <c:v>2.2400000000000002</c:v>
                </c:pt>
                <c:pt idx="16">
                  <c:v>2.2599999999999998</c:v>
                </c:pt>
                <c:pt idx="17">
                  <c:v>2.31</c:v>
                </c:pt>
                <c:pt idx="18">
                  <c:v>2.36</c:v>
                </c:pt>
                <c:pt idx="19">
                  <c:v>2.4</c:v>
                </c:pt>
                <c:pt idx="20">
                  <c:v>2.4900000000000002</c:v>
                </c:pt>
                <c:pt idx="21">
                  <c:v>2.57</c:v>
                </c:pt>
                <c:pt idx="22">
                  <c:v>2.63</c:v>
                </c:pt>
                <c:pt idx="23">
                  <c:v>2.67</c:v>
                </c:pt>
                <c:pt idx="24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B-4DC4-83B5-80F0950FA526}"/>
            </c:ext>
          </c:extLst>
        </c:ser>
        <c:ser>
          <c:idx val="2"/>
          <c:order val="2"/>
          <c:tx>
            <c:strRef>
              <c:f>RocketData!$D$6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RocketData!$A$7:$A$31</c:f>
              <c:numCache>
                <c:formatCode>General</c:formatCode>
                <c:ptCount val="25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</c:numCache>
            </c:numRef>
          </c:xVal>
          <c:yVal>
            <c:numRef>
              <c:f>RocketData!$D$7:$D$31</c:f>
              <c:numCache>
                <c:formatCode>General</c:formatCode>
                <c:ptCount val="25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2.0499999999999998</c:v>
                </c:pt>
                <c:pt idx="5">
                  <c:v>2.06</c:v>
                </c:pt>
                <c:pt idx="6">
                  <c:v>2.1</c:v>
                </c:pt>
                <c:pt idx="7">
                  <c:v>2.16</c:v>
                </c:pt>
                <c:pt idx="8">
                  <c:v>2.2999999999999998</c:v>
                </c:pt>
                <c:pt idx="9">
                  <c:v>2.36</c:v>
                </c:pt>
                <c:pt idx="10">
                  <c:v>2.4</c:v>
                </c:pt>
                <c:pt idx="11">
                  <c:v>2.37</c:v>
                </c:pt>
                <c:pt idx="12">
                  <c:v>2.2999999999999998</c:v>
                </c:pt>
                <c:pt idx="13">
                  <c:v>2.21</c:v>
                </c:pt>
                <c:pt idx="14">
                  <c:v>2.16</c:v>
                </c:pt>
                <c:pt idx="15">
                  <c:v>2.12</c:v>
                </c:pt>
                <c:pt idx="16">
                  <c:v>2.08</c:v>
                </c:pt>
                <c:pt idx="17">
                  <c:v>2.08</c:v>
                </c:pt>
                <c:pt idx="18">
                  <c:v>2.12</c:v>
                </c:pt>
                <c:pt idx="19">
                  <c:v>2.15</c:v>
                </c:pt>
                <c:pt idx="20">
                  <c:v>2.2200000000000002</c:v>
                </c:pt>
                <c:pt idx="21">
                  <c:v>2.2799999999999998</c:v>
                </c:pt>
                <c:pt idx="22">
                  <c:v>2.34</c:v>
                </c:pt>
                <c:pt idx="23">
                  <c:v>2.39</c:v>
                </c:pt>
                <c:pt idx="24">
                  <c:v>2.4300000000000002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4B-4DC4-83B5-80F0950FA526}"/>
            </c:ext>
          </c:extLst>
        </c:ser>
        <c:ser>
          <c:idx val="3"/>
          <c:order val="3"/>
          <c:tx>
            <c:strRef>
              <c:f>RocketData!$E$6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RocketData!$A$7:$A$31</c:f>
              <c:numCache>
                <c:formatCode>General</c:formatCode>
                <c:ptCount val="25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</c:numCache>
            </c:numRef>
          </c:xVal>
          <c:yVal>
            <c:numRef>
              <c:f>RocketData!$E$7:$E$31</c:f>
              <c:numCache>
                <c:formatCode>General</c:formatCode>
                <c:ptCount val="25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2.0499999999999998</c:v>
                </c:pt>
                <c:pt idx="5">
                  <c:v>2.06</c:v>
                </c:pt>
                <c:pt idx="6">
                  <c:v>2.1</c:v>
                </c:pt>
                <c:pt idx="7">
                  <c:v>2.16</c:v>
                </c:pt>
                <c:pt idx="8">
                  <c:v>2.2999999999999998</c:v>
                </c:pt>
                <c:pt idx="9">
                  <c:v>2.36</c:v>
                </c:pt>
                <c:pt idx="10">
                  <c:v>2.4</c:v>
                </c:pt>
                <c:pt idx="11">
                  <c:v>2.38</c:v>
                </c:pt>
                <c:pt idx="12">
                  <c:v>2.2999999999999998</c:v>
                </c:pt>
                <c:pt idx="13">
                  <c:v>2.21</c:v>
                </c:pt>
                <c:pt idx="14">
                  <c:v>2.13</c:v>
                </c:pt>
                <c:pt idx="15">
                  <c:v>2.08</c:v>
                </c:pt>
                <c:pt idx="16">
                  <c:v>2.0299999999999998</c:v>
                </c:pt>
                <c:pt idx="17">
                  <c:v>2.0099999999999998</c:v>
                </c:pt>
                <c:pt idx="18">
                  <c:v>2.0299999999999998</c:v>
                </c:pt>
                <c:pt idx="19">
                  <c:v>2.06</c:v>
                </c:pt>
                <c:pt idx="20">
                  <c:v>2.1</c:v>
                </c:pt>
                <c:pt idx="21">
                  <c:v>2.14</c:v>
                </c:pt>
                <c:pt idx="22">
                  <c:v>2.1800000000000002</c:v>
                </c:pt>
                <c:pt idx="23">
                  <c:v>2.21</c:v>
                </c:pt>
                <c:pt idx="24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4B-4DC4-83B5-80F0950F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3824"/>
        <c:axId val="196586000"/>
      </c:scatterChart>
      <c:valAx>
        <c:axId val="1965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6000"/>
        <c:crosses val="autoZero"/>
        <c:crossBetween val="midCat"/>
      </c:valAx>
      <c:valAx>
        <c:axId val="19658600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RocketData!$B$35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RocketData!$A$36:$A$41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RocketData!$B$36:$B$41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0.46600000000000003</c:v>
                </c:pt>
                <c:pt idx="2">
                  <c:v>0.75</c:v>
                </c:pt>
                <c:pt idx="3">
                  <c:v>0.93</c:v>
                </c:pt>
                <c:pt idx="4">
                  <c:v>1.2</c:v>
                </c:pt>
                <c:pt idx="5">
                  <c:v>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0A-4A36-AD20-CD83A2E3F734}"/>
            </c:ext>
          </c:extLst>
        </c:ser>
        <c:ser>
          <c:idx val="1"/>
          <c:order val="1"/>
          <c:tx>
            <c:strRef>
              <c:f>RocketData!$C$35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RocketData!$C$36:$C$41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0.46600000000000003</c:v>
                </c:pt>
                <c:pt idx="2">
                  <c:v>1.02</c:v>
                </c:pt>
                <c:pt idx="3">
                  <c:v>1.25</c:v>
                </c:pt>
                <c:pt idx="4">
                  <c:v>1.52</c:v>
                </c:pt>
                <c:pt idx="5">
                  <c:v>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0A-4A36-AD20-CD83A2E3F734}"/>
            </c:ext>
          </c:extLst>
        </c:ser>
        <c:ser>
          <c:idx val="2"/>
          <c:order val="2"/>
          <c:tx>
            <c:strRef>
              <c:f>RocketData!$D$35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RocketData!$D$36:$D$41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0.46600000000000003</c:v>
                </c:pt>
                <c:pt idx="2">
                  <c:v>1.59</c:v>
                </c:pt>
                <c:pt idx="3">
                  <c:v>1.84</c:v>
                </c:pt>
                <c:pt idx="4">
                  <c:v>2.08</c:v>
                </c:pt>
                <c:pt idx="5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0A-4A36-AD20-CD83A2E3F734}"/>
            </c:ext>
          </c:extLst>
        </c:ser>
        <c:ser>
          <c:idx val="3"/>
          <c:order val="3"/>
          <c:tx>
            <c:strRef>
              <c:f>RocketData!$F$35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RocketData!$E$36:$E$41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0.46600000000000003</c:v>
                </c:pt>
                <c:pt idx="2">
                  <c:v>2.1</c:v>
                </c:pt>
                <c:pt idx="3">
                  <c:v>2.4</c:v>
                </c:pt>
                <c:pt idx="4">
                  <c:v>2.6</c:v>
                </c:pt>
                <c:pt idx="5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0A-4A36-AD20-CD83A2E3F734}"/>
            </c:ext>
          </c:extLst>
        </c:ser>
        <c:ser>
          <c:idx val="4"/>
          <c:order val="4"/>
          <c:tx>
            <c:strRef>
              <c:f>RocketData!$G$35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RocketData!$G$36:$G$41</c:f>
              <c:numCache>
                <c:formatCode>General</c:formatCode>
                <c:ptCount val="6"/>
                <c:pt idx="0">
                  <c:v>0.46600000000000003</c:v>
                </c:pt>
                <c:pt idx="1">
                  <c:v>0.46600000000000003</c:v>
                </c:pt>
                <c:pt idx="2">
                  <c:v>3.35</c:v>
                </c:pt>
                <c:pt idx="3">
                  <c:v>3.43</c:v>
                </c:pt>
                <c:pt idx="4">
                  <c:v>3.74</c:v>
                </c:pt>
                <c:pt idx="5">
                  <c:v>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0A-4A36-AD20-CD83A2E3F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984"/>
        <c:axId val="195352528"/>
      </c:scatterChart>
      <c:valAx>
        <c:axId val="1953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2528"/>
        <c:crosses val="autoZero"/>
        <c:crossBetween val="midCat"/>
      </c:valAx>
      <c:valAx>
        <c:axId val="195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RocketData!$B$59</c:f>
              <c:strCache>
                <c:ptCount val="1"/>
                <c:pt idx="0">
                  <c:v>C_NC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RocketData!$A$60:$A$66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RocketData!$B$60:$B$66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3.5000000000000003E-2</c:v>
                </c:pt>
                <c:pt idx="4">
                  <c:v>6.5000000000000002E-2</c:v>
                </c:pt>
                <c:pt idx="5">
                  <c:v>0.11</c:v>
                </c:pt>
                <c:pt idx="6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9-49F0-8008-6F9A9577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49808"/>
        <c:axId val="195351440"/>
      </c:lineChart>
      <c:lineChart>
        <c:grouping val="standard"/>
        <c:varyColors val="0"/>
        <c:ser>
          <c:idx val="1"/>
          <c:order val="1"/>
          <c:tx>
            <c:strRef>
              <c:f>RocketData!$C$59</c:f>
              <c:strCache>
                <c:ptCount val="1"/>
                <c:pt idx="0">
                  <c:v>dC_NC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RocketData!$A$60:$A$66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RocketData!$C$60:$C$66</c:f>
              <c:numCache>
                <c:formatCode>0.0000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9.999999999999998E-4</c:v>
                </c:pt>
                <c:pt idx="3">
                  <c:v>1.3333333333333335E-3</c:v>
                </c:pt>
                <c:pt idx="4">
                  <c:v>1.5E-3</c:v>
                </c:pt>
                <c:pt idx="5">
                  <c:v>1.8E-3</c:v>
                </c:pt>
                <c:pt idx="6">
                  <c:v>2.1666666666666661E-3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9F0-8008-6F9A9577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50352"/>
        <c:axId val="195353072"/>
      </c:lineChart>
      <c:catAx>
        <c:axId val="1953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1440"/>
        <c:crosses val="autoZero"/>
        <c:auto val="1"/>
        <c:lblAlgn val="ctr"/>
        <c:lblOffset val="100"/>
        <c:noMultiLvlLbl val="0"/>
      </c:catAx>
      <c:valAx>
        <c:axId val="195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9808"/>
        <c:crosses val="autoZero"/>
        <c:crossBetween val="between"/>
      </c:valAx>
      <c:valAx>
        <c:axId val="195353072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52"/>
        <c:crosses val="max"/>
        <c:crossBetween val="between"/>
      </c:valAx>
      <c:catAx>
        <c:axId val="19535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75469412477283"/>
          <c:y val="0.42035325383071959"/>
          <c:w val="0.19426628489620615"/>
          <c:h val="0.1592931207036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RocketData!$B$70</c:f>
              <c:strCache>
                <c:ptCount val="1"/>
                <c:pt idx="0">
                  <c:v>d(C_NC)/da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RocketData!$A$71:$A$83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RocketData!$B$71:$B$83</c:f>
              <c:numCache>
                <c:formatCode>General</c:formatCode>
                <c:ptCount val="13"/>
                <c:pt idx="0">
                  <c:v>6.3E-2</c:v>
                </c:pt>
                <c:pt idx="1">
                  <c:v>6.8000000000000005E-2</c:v>
                </c:pt>
                <c:pt idx="2">
                  <c:v>6.9000000000000006E-2</c:v>
                </c:pt>
                <c:pt idx="3">
                  <c:v>6.9000000000000006E-2</c:v>
                </c:pt>
                <c:pt idx="4">
                  <c:v>6.7000000000000004E-2</c:v>
                </c:pt>
                <c:pt idx="5">
                  <c:v>6.6000000000000003E-2</c:v>
                </c:pt>
                <c:pt idx="6">
                  <c:v>6.3E-2</c:v>
                </c:pt>
                <c:pt idx="7">
                  <c:v>5.7000000000000002E-2</c:v>
                </c:pt>
                <c:pt idx="8">
                  <c:v>0.06</c:v>
                </c:pt>
                <c:pt idx="9">
                  <c:v>6.6000000000000003E-2</c:v>
                </c:pt>
                <c:pt idx="10">
                  <c:v>7.6999999999999999E-2</c:v>
                </c:pt>
                <c:pt idx="11">
                  <c:v>9.1999999999999998E-2</c:v>
                </c:pt>
                <c:pt idx="12">
                  <c:v>0.115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C-49B2-B7D3-0B4372FB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3616"/>
        <c:axId val="195355792"/>
      </c:scatterChart>
      <c:valAx>
        <c:axId val="19535361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5792"/>
        <c:crosses val="autoZero"/>
        <c:crossBetween val="midCat"/>
      </c:valAx>
      <c:valAx>
        <c:axId val="195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"/>
                <a:ea typeface="+mn-ea"/>
                <a:cs typeface="Times New Roman" panose="02020603050405020304" pitchFamily="18" charset="0"/>
              </a:defRPr>
            </a:pPr>
            <a:r>
              <a:rPr lang="es-MX"/>
              <a:t>Critical Mach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'Manual rev.1'!$B$166</c:f>
              <c:strCache>
                <c:ptCount val="1"/>
                <c:pt idx="0">
                  <c:v>Cp,cr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rev.1'!$A$167:$A$187</c:f>
              <c:numCache>
                <c:formatCode>0.00</c:formatCode>
                <c:ptCount val="21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0.57500000000000007</c:v>
                </c:pt>
                <c:pt idx="4">
                  <c:v>0.60000000000000009</c:v>
                </c:pt>
                <c:pt idx="5">
                  <c:v>0.62500000000000011</c:v>
                </c:pt>
                <c:pt idx="6">
                  <c:v>0.65000000000000013</c:v>
                </c:pt>
                <c:pt idx="7">
                  <c:v>0.67500000000000016</c:v>
                </c:pt>
                <c:pt idx="8">
                  <c:v>0.70000000000000018</c:v>
                </c:pt>
                <c:pt idx="9">
                  <c:v>0.7250000000000002</c:v>
                </c:pt>
                <c:pt idx="10">
                  <c:v>0.75000000000000022</c:v>
                </c:pt>
                <c:pt idx="11">
                  <c:v>0.77500000000000024</c:v>
                </c:pt>
                <c:pt idx="12">
                  <c:v>0.80000000000000027</c:v>
                </c:pt>
                <c:pt idx="13">
                  <c:v>0.82500000000000029</c:v>
                </c:pt>
                <c:pt idx="14">
                  <c:v>0.85000000000000031</c:v>
                </c:pt>
                <c:pt idx="15">
                  <c:v>0.87500000000000033</c:v>
                </c:pt>
                <c:pt idx="16">
                  <c:v>0.90000000000000036</c:v>
                </c:pt>
                <c:pt idx="17">
                  <c:v>0.92500000000000038</c:v>
                </c:pt>
                <c:pt idx="18">
                  <c:v>0.9500000000000004</c:v>
                </c:pt>
                <c:pt idx="19">
                  <c:v>0.97500000000000042</c:v>
                </c:pt>
                <c:pt idx="20">
                  <c:v>1.0000000000000004</c:v>
                </c:pt>
              </c:numCache>
            </c:numRef>
          </c:xVal>
          <c:yVal>
            <c:numRef>
              <c:f>'Manual rev.1'!$B$167:$B$187</c:f>
              <c:numCache>
                <c:formatCode>0.00</c:formatCode>
                <c:ptCount val="21"/>
                <c:pt idx="0">
                  <c:v>-2.133402668349714</c:v>
                </c:pt>
                <c:pt idx="1">
                  <c:v>-1.8792336576441555</c:v>
                </c:pt>
                <c:pt idx="2">
                  <c:v>-1.6582622168975083</c:v>
                </c:pt>
                <c:pt idx="3">
                  <c:v>-1.464806802032955</c:v>
                </c:pt>
                <c:pt idx="4">
                  <c:v>-1.2943435904552825</c:v>
                </c:pt>
                <c:pt idx="5">
                  <c:v>-1.1432343202924669</c:v>
                </c:pt>
                <c:pt idx="6">
                  <c:v>-1.0085259417860786</c:v>
                </c:pt>
                <c:pt idx="7">
                  <c:v>-0.88780121440446147</c:v>
                </c:pt>
                <c:pt idx="8">
                  <c:v>-0.77906596455962962</c:v>
                </c:pt>
                <c:pt idx="9">
                  <c:v>-0.68066307202112553</c:v>
                </c:pt>
                <c:pt idx="10">
                  <c:v>-0.59120618074665254</c:v>
                </c:pt>
                <c:pt idx="11">
                  <c:v>-0.50952812909954748</c:v>
                </c:pt>
                <c:pt idx="12">
                  <c:v>-0.43464047915522891</c:v>
                </c:pt>
                <c:pt idx="13">
                  <c:v>-0.36570149657757012</c:v>
                </c:pt>
                <c:pt idx="14">
                  <c:v>-0.30199062290533707</c:v>
                </c:pt>
                <c:pt idx="15">
                  <c:v>-0.24288797814629501</c:v>
                </c:pt>
                <c:pt idx="16">
                  <c:v>-0.18785779183683954</c:v>
                </c:pt>
                <c:pt idx="17">
                  <c:v>-0.13643492498851681</c:v>
                </c:pt>
                <c:pt idx="18">
                  <c:v>-8.8213841015504529E-2</c:v>
                </c:pt>
                <c:pt idx="19">
                  <c:v>-4.2839529905831897E-2</c:v>
                </c:pt>
                <c:pt idx="20">
                  <c:v>1.2688263138573206E-15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2-45B1-BE2E-D996ABC7ADF7}"/>
            </c:ext>
          </c:extLst>
        </c:ser>
        <c:ser>
          <c:idx val="1"/>
          <c:order val="1"/>
          <c:tx>
            <c:v>Mach vs Cp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rev.1'!$A$167:$A$187</c:f>
              <c:numCache>
                <c:formatCode>0.00</c:formatCode>
                <c:ptCount val="21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0.57500000000000007</c:v>
                </c:pt>
                <c:pt idx="4">
                  <c:v>0.60000000000000009</c:v>
                </c:pt>
                <c:pt idx="5">
                  <c:v>0.62500000000000011</c:v>
                </c:pt>
                <c:pt idx="6">
                  <c:v>0.65000000000000013</c:v>
                </c:pt>
                <c:pt idx="7">
                  <c:v>0.67500000000000016</c:v>
                </c:pt>
                <c:pt idx="8">
                  <c:v>0.70000000000000018</c:v>
                </c:pt>
                <c:pt idx="9">
                  <c:v>0.7250000000000002</c:v>
                </c:pt>
                <c:pt idx="10">
                  <c:v>0.75000000000000022</c:v>
                </c:pt>
                <c:pt idx="11">
                  <c:v>0.77500000000000024</c:v>
                </c:pt>
                <c:pt idx="12">
                  <c:v>0.80000000000000027</c:v>
                </c:pt>
                <c:pt idx="13">
                  <c:v>0.82500000000000029</c:v>
                </c:pt>
                <c:pt idx="14">
                  <c:v>0.85000000000000031</c:v>
                </c:pt>
                <c:pt idx="15">
                  <c:v>0.87500000000000033</c:v>
                </c:pt>
                <c:pt idx="16">
                  <c:v>0.90000000000000036</c:v>
                </c:pt>
                <c:pt idx="17">
                  <c:v>0.92500000000000038</c:v>
                </c:pt>
                <c:pt idx="18">
                  <c:v>0.9500000000000004</c:v>
                </c:pt>
                <c:pt idx="19">
                  <c:v>0.97500000000000042</c:v>
                </c:pt>
                <c:pt idx="20">
                  <c:v>1.0000000000000004</c:v>
                </c:pt>
              </c:numCache>
            </c:numRef>
          </c:xVal>
          <c:yVal>
            <c:numRef>
              <c:f>'Manual rev.1'!$C$167:$C$187</c:f>
              <c:numCache>
                <c:formatCode>General</c:formatCode>
                <c:ptCount val="21"/>
                <c:pt idx="0">
                  <c:v>-0.13856406460551018</c:v>
                </c:pt>
                <c:pt idx="1">
                  <c:v>-0.14099363890705119</c:v>
                </c:pt>
                <c:pt idx="2">
                  <c:v>-0.14368424162141991</c:v>
                </c:pt>
                <c:pt idx="3">
                  <c:v>-0.14667175952451381</c:v>
                </c:pt>
                <c:pt idx="4">
                  <c:v>-0.15</c:v>
                </c:pt>
                <c:pt idx="5">
                  <c:v>-0.15372302765288365</c:v>
                </c:pt>
                <c:pt idx="6">
                  <c:v>-0.15790840679034457</c:v>
                </c:pt>
                <c:pt idx="7">
                  <c:v>-0.16264179541720736</c:v>
                </c:pt>
                <c:pt idx="8">
                  <c:v>-0.16803361008336121</c:v>
                </c:pt>
                <c:pt idx="9">
                  <c:v>-0.17422896207375071</c:v>
                </c:pt>
                <c:pt idx="10">
                  <c:v>-0.18142294704442916</c:v>
                </c:pt>
                <c:pt idx="11">
                  <c:v>-0.18988506531101662</c:v>
                </c:pt>
                <c:pt idx="12">
                  <c:v>-0.20000000000000012</c:v>
                </c:pt>
                <c:pt idx="13">
                  <c:v>-0.21233949849782838</c:v>
                </c:pt>
                <c:pt idx="14">
                  <c:v>-0.22779791898059995</c:v>
                </c:pt>
                <c:pt idx="15">
                  <c:v>-0.24787093415727499</c:v>
                </c:pt>
                <c:pt idx="16">
                  <c:v>-0.27529888064467456</c:v>
                </c:pt>
                <c:pt idx="17">
                  <c:v>-0.31581681358068991</c:v>
                </c:pt>
                <c:pt idx="18">
                  <c:v>-0.38430756913221059</c:v>
                </c:pt>
                <c:pt idx="19">
                  <c:v>-0.54004219244449603</c:v>
                </c:pt>
                <c:pt idx="20">
                  <c:v>-2.13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B2-45B1-BE2E-D996ABC7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67088"/>
        <c:axId val="1860966000"/>
      </c:scatterChart>
      <c:valAx>
        <c:axId val="18609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0966000"/>
        <c:crossesAt val="0"/>
        <c:crossBetween val="midCat"/>
      </c:valAx>
      <c:valAx>
        <c:axId val="1860966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096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Pressure distribution</a:t>
            </a:r>
            <a:r>
              <a:rPr lang="es-MX" baseline="0"/>
              <a:t> in Flat plate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rev.1'!$A$195:$A$205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</c:numCache>
            </c:numRef>
          </c:xVal>
          <c:yVal>
            <c:numRef>
              <c:f>'Manual rev.1'!$D$195:$D$205</c:f>
              <c:numCache>
                <c:formatCode>General</c:formatCode>
                <c:ptCount val="11"/>
                <c:pt idx="0">
                  <c:v>0</c:v>
                </c:pt>
                <c:pt idx="1">
                  <c:v>2.1955015844965509E-2</c:v>
                </c:pt>
                <c:pt idx="2">
                  <c:v>3.0977704868796141E-2</c:v>
                </c:pt>
                <c:pt idx="3">
                  <c:v>3.7872707159892438E-2</c:v>
                </c:pt>
                <c:pt idx="4">
                  <c:v>4.3666337754101781E-2</c:v>
                </c:pt>
                <c:pt idx="5">
                  <c:v>4.8756131139964021E-2</c:v>
                </c:pt>
                <c:pt idx="6">
                  <c:v>5.334596720549345E-2</c:v>
                </c:pt>
                <c:pt idx="7">
                  <c:v>5.7556959955968101E-2</c:v>
                </c:pt>
                <c:pt idx="8">
                  <c:v>6.1468021865933475E-2</c:v>
                </c:pt>
                <c:pt idx="9">
                  <c:v>6.5133965727408594E-2</c:v>
                </c:pt>
                <c:pt idx="10">
                  <c:v>6.8594700400626429E-2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7-4AC8-8BE4-DB3F894777C5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rev.1'!$A$195:$A$205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</c:numCache>
            </c:numRef>
          </c:xVal>
          <c:yVal>
            <c:numRef>
              <c:f>'Manual rev.1'!$C$195:$C$205</c:f>
              <c:numCache>
                <c:formatCode>General</c:formatCode>
                <c:ptCount val="11"/>
                <c:pt idx="0">
                  <c:v>0</c:v>
                </c:pt>
                <c:pt idx="1">
                  <c:v>-2.2198709780794745E-2</c:v>
                </c:pt>
                <c:pt idx="2">
                  <c:v>-3.1465092740454725E-2</c:v>
                </c:pt>
                <c:pt idx="3">
                  <c:v>-3.8603788967380481E-2</c:v>
                </c:pt>
                <c:pt idx="4">
                  <c:v>-4.4641113497419171E-2</c:v>
                </c:pt>
                <c:pt idx="5">
                  <c:v>-4.9974600819110648E-2</c:v>
                </c:pt>
                <c:pt idx="6">
                  <c:v>-5.4808130820469758E-2</c:v>
                </c:pt>
                <c:pt idx="7">
                  <c:v>-5.9262817506773757E-2</c:v>
                </c:pt>
                <c:pt idx="8">
                  <c:v>-6.3417573352568368E-2</c:v>
                </c:pt>
                <c:pt idx="9">
                  <c:v>-6.7327211149872612E-2</c:v>
                </c:pt>
                <c:pt idx="10">
                  <c:v>-7.1031639758920129E-2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7-4AC8-8BE4-DB3F8947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1680"/>
        <c:axId val="201182224"/>
      </c:scatterChart>
      <c:valAx>
        <c:axId val="2011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2224"/>
        <c:crosses val="autoZero"/>
        <c:crossBetween val="midCat"/>
      </c:valAx>
      <c:valAx>
        <c:axId val="2011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Geometry!$B$28:$C$28</c:f>
              <c:strCache>
                <c:ptCount val="2"/>
                <c:pt idx="0">
                  <c:v>References</c:v>
                </c:pt>
                <c:pt idx="1">
                  <c:v>Solidworks Tutorial - Equation Driven Curve - YouTube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Geometry!$D$11:$G$27</c:f>
              <c:multiLvlStrCache>
                <c:ptCount val="4"/>
                <c:lvl>
                  <c:pt idx="0">
                    <c:v>30</c:v>
                  </c:pt>
                  <c:pt idx="1">
                    <c:v>cm</c:v>
                  </c:pt>
                  <c:pt idx="2">
                    <c:v>0.3</c:v>
                  </c:pt>
                  <c:pt idx="3">
                    <c:v>m</c:v>
                  </c:pt>
                </c:lvl>
                <c:lvl>
                  <c:pt idx="0">
                    <c:v>12.7</c:v>
                  </c:pt>
                  <c:pt idx="1">
                    <c:v>cm</c:v>
                  </c:pt>
                  <c:pt idx="2">
                    <c:v>0.127</c:v>
                  </c:pt>
                  <c:pt idx="3">
                    <c:v>m</c:v>
                  </c:pt>
                </c:lvl>
                <c:lvl>
                  <c:pt idx="0">
                    <c:v>0.211666667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xVal>
          <c:yVal>
            <c:numRef>
              <c:f>Geometry!$D$28:$G$28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A-4EAB-BD37-C103652F6D9D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Geometry!$H$13:$H$22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Geometry!$I$13:$I$22</c:f>
              <c:numCache>
                <c:formatCode>General</c:formatCode>
                <c:ptCount val="10"/>
                <c:pt idx="0">
                  <c:v>0</c:v>
                </c:pt>
                <c:pt idx="1">
                  <c:v>0.39687499999999998</c:v>
                </c:pt>
                <c:pt idx="2">
                  <c:v>1.190625</c:v>
                </c:pt>
                <c:pt idx="3">
                  <c:v>1.984375</c:v>
                </c:pt>
                <c:pt idx="4">
                  <c:v>2.7781250000000002</c:v>
                </c:pt>
                <c:pt idx="5">
                  <c:v>3.5718749999999999</c:v>
                </c:pt>
                <c:pt idx="6">
                  <c:v>4.3656249999999996</c:v>
                </c:pt>
                <c:pt idx="7">
                  <c:v>5.1593749999999998</c:v>
                </c:pt>
                <c:pt idx="8">
                  <c:v>5.953125</c:v>
                </c:pt>
                <c:pt idx="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2A-4EAB-BD37-C103652F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2768"/>
        <c:axId val="201180048"/>
      </c:scatterChart>
      <c:valAx>
        <c:axId val="2011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0048"/>
        <c:crosses val="autoZero"/>
        <c:crossBetween val="midCat"/>
      </c:valAx>
      <c:valAx>
        <c:axId val="2011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Geometry!$H$31:$H$40</c:f>
              <c:numCache>
                <c:formatCode>0.0</c:formatCode>
                <c:ptCount val="10"/>
                <c:pt idx="0" formatCode="General">
                  <c:v>30</c:v>
                </c:pt>
                <c:pt idx="1">
                  <c:v>36.25</c:v>
                </c:pt>
                <c:pt idx="2">
                  <c:v>48.75</c:v>
                </c:pt>
                <c:pt idx="3">
                  <c:v>61.25</c:v>
                </c:pt>
                <c:pt idx="4">
                  <c:v>73.75</c:v>
                </c:pt>
                <c:pt idx="5">
                  <c:v>86.25</c:v>
                </c:pt>
                <c:pt idx="6">
                  <c:v>98.75</c:v>
                </c:pt>
                <c:pt idx="7">
                  <c:v>111.25</c:v>
                </c:pt>
                <c:pt idx="8">
                  <c:v>123.75</c:v>
                </c:pt>
                <c:pt idx="9">
                  <c:v>130</c:v>
                </c:pt>
              </c:numCache>
            </c:numRef>
          </c:xVal>
          <c:yVal>
            <c:numRef>
              <c:f>Geometry!$I$31:$I$40</c:f>
              <c:numCache>
                <c:formatCode>General</c:formatCode>
                <c:ptCount val="10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6.35</c:v>
                </c:pt>
                <c:pt idx="4">
                  <c:v>6.35</c:v>
                </c:pt>
                <c:pt idx="5">
                  <c:v>6.35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F-4EDB-AD71-A011C946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3312"/>
        <c:axId val="201186576"/>
      </c:scatterChart>
      <c:valAx>
        <c:axId val="2011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6576"/>
        <c:crosses val="autoZero"/>
        <c:crossBetween val="midCat"/>
      </c:valAx>
      <c:valAx>
        <c:axId val="20118657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Cone+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Geometry!$T$13:$T$22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Geometry!$U$13:$U$22</c:f>
              <c:numCache>
                <c:formatCode>General</c:formatCode>
                <c:ptCount val="10"/>
                <c:pt idx="0">
                  <c:v>0</c:v>
                </c:pt>
                <c:pt idx="1">
                  <c:v>0.80028140974278017</c:v>
                </c:pt>
                <c:pt idx="2">
                  <c:v>2.2227341724329506</c:v>
                </c:pt>
                <c:pt idx="3">
                  <c:v>3.4193360049676613</c:v>
                </c:pt>
                <c:pt idx="4">
                  <c:v>4.4013339085217069</c:v>
                </c:pt>
                <c:pt idx="5">
                  <c:v>5.1774045961570891</c:v>
                </c:pt>
                <c:pt idx="6">
                  <c:v>5.7540762469702145</c:v>
                </c:pt>
                <c:pt idx="7">
                  <c:v>6.1360215886791423</c:v>
                </c:pt>
                <c:pt idx="8">
                  <c:v>6.3262551688511195</c:v>
                </c:pt>
                <c:pt idx="9">
                  <c:v>6.3499999999999943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A-4E7A-81E2-39419AF3D854}"/>
            </c:ext>
          </c:extLst>
        </c:ser>
        <c:ser>
          <c:idx val="0"/>
          <c:order val="1"/>
          <c:tx>
            <c:v>Cone-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Geometry!$T$13:$T$22</c:f>
              <c:numCache>
                <c:formatCode>General</c:formatCode>
                <c:ptCount val="10"/>
                <c:pt idx="0">
                  <c:v>0</c:v>
                </c:pt>
                <c:pt idx="1">
                  <c:v>1.875</c:v>
                </c:pt>
                <c:pt idx="2">
                  <c:v>5.625</c:v>
                </c:pt>
                <c:pt idx="3">
                  <c:v>9.375</c:v>
                </c:pt>
                <c:pt idx="4">
                  <c:v>13.125</c:v>
                </c:pt>
                <c:pt idx="5">
                  <c:v>16.875</c:v>
                </c:pt>
                <c:pt idx="6">
                  <c:v>20.625</c:v>
                </c:pt>
                <c:pt idx="7">
                  <c:v>24.375</c:v>
                </c:pt>
                <c:pt idx="8">
                  <c:v>28.125</c:v>
                </c:pt>
                <c:pt idx="9">
                  <c:v>30</c:v>
                </c:pt>
              </c:numCache>
            </c:numRef>
          </c:xVal>
          <c:yVal>
            <c:numRef>
              <c:f>Geometry!$V$13:$V$22</c:f>
              <c:numCache>
                <c:formatCode>General</c:formatCode>
                <c:ptCount val="10"/>
                <c:pt idx="0">
                  <c:v>0</c:v>
                </c:pt>
                <c:pt idx="1">
                  <c:v>-0.80028140974278017</c:v>
                </c:pt>
                <c:pt idx="2">
                  <c:v>-2.2227341724329506</c:v>
                </c:pt>
                <c:pt idx="3">
                  <c:v>-3.4193360049676613</c:v>
                </c:pt>
                <c:pt idx="4">
                  <c:v>-4.4013339085217069</c:v>
                </c:pt>
                <c:pt idx="5">
                  <c:v>-5.1774045961570891</c:v>
                </c:pt>
                <c:pt idx="6">
                  <c:v>-5.7540762469702145</c:v>
                </c:pt>
                <c:pt idx="7">
                  <c:v>-6.1360215886791423</c:v>
                </c:pt>
                <c:pt idx="8">
                  <c:v>-6.3262551688511195</c:v>
                </c:pt>
                <c:pt idx="9">
                  <c:v>-6.3499999999999943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A-4E7A-81E2-39419AF3D854}"/>
            </c:ext>
          </c:extLst>
        </c:ser>
        <c:ser>
          <c:idx val="2"/>
          <c:order val="2"/>
          <c:tx>
            <c:v>RT+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Geometry!$H$31:$H$40</c:f>
              <c:numCache>
                <c:formatCode>0.0</c:formatCode>
                <c:ptCount val="10"/>
                <c:pt idx="0" formatCode="General">
                  <c:v>30</c:v>
                </c:pt>
                <c:pt idx="1">
                  <c:v>36.25</c:v>
                </c:pt>
                <c:pt idx="2">
                  <c:v>48.75</c:v>
                </c:pt>
                <c:pt idx="3">
                  <c:v>61.25</c:v>
                </c:pt>
                <c:pt idx="4">
                  <c:v>73.75</c:v>
                </c:pt>
                <c:pt idx="5">
                  <c:v>86.25</c:v>
                </c:pt>
                <c:pt idx="6">
                  <c:v>98.75</c:v>
                </c:pt>
                <c:pt idx="7">
                  <c:v>111.25</c:v>
                </c:pt>
                <c:pt idx="8">
                  <c:v>123.75</c:v>
                </c:pt>
                <c:pt idx="9">
                  <c:v>130</c:v>
                </c:pt>
              </c:numCache>
            </c:numRef>
          </c:xVal>
          <c:yVal>
            <c:numRef>
              <c:f>Geometry!$I$31:$I$40</c:f>
              <c:numCache>
                <c:formatCode>General</c:formatCode>
                <c:ptCount val="10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6.35</c:v>
                </c:pt>
                <c:pt idx="4">
                  <c:v>6.35</c:v>
                </c:pt>
                <c:pt idx="5">
                  <c:v>6.35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A-4E7A-81E2-39419AF3D854}"/>
            </c:ext>
          </c:extLst>
        </c:ser>
        <c:ser>
          <c:idx val="3"/>
          <c:order val="3"/>
          <c:tx>
            <c:v>RT-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Geometry!$H$31:$H$40</c:f>
              <c:numCache>
                <c:formatCode>0.0</c:formatCode>
                <c:ptCount val="10"/>
                <c:pt idx="0" formatCode="General">
                  <c:v>30</c:v>
                </c:pt>
                <c:pt idx="1">
                  <c:v>36.25</c:v>
                </c:pt>
                <c:pt idx="2">
                  <c:v>48.75</c:v>
                </c:pt>
                <c:pt idx="3">
                  <c:v>61.25</c:v>
                </c:pt>
                <c:pt idx="4">
                  <c:v>73.75</c:v>
                </c:pt>
                <c:pt idx="5">
                  <c:v>86.25</c:v>
                </c:pt>
                <c:pt idx="6">
                  <c:v>98.75</c:v>
                </c:pt>
                <c:pt idx="7">
                  <c:v>111.25</c:v>
                </c:pt>
                <c:pt idx="8">
                  <c:v>123.75</c:v>
                </c:pt>
                <c:pt idx="9">
                  <c:v>130</c:v>
                </c:pt>
              </c:numCache>
            </c:numRef>
          </c:xVal>
          <c:yVal>
            <c:numRef>
              <c:f>Geometry!$J$31:$J$40</c:f>
              <c:numCache>
                <c:formatCode>General</c:formatCode>
                <c:ptCount val="10"/>
                <c:pt idx="0">
                  <c:v>-6.35</c:v>
                </c:pt>
                <c:pt idx="1">
                  <c:v>-6.35</c:v>
                </c:pt>
                <c:pt idx="2">
                  <c:v>-6.35</c:v>
                </c:pt>
                <c:pt idx="3">
                  <c:v>-6.35</c:v>
                </c:pt>
                <c:pt idx="4">
                  <c:v>-6.35</c:v>
                </c:pt>
                <c:pt idx="5">
                  <c:v>-6.35</c:v>
                </c:pt>
                <c:pt idx="6">
                  <c:v>-6.35</c:v>
                </c:pt>
                <c:pt idx="7">
                  <c:v>-6.35</c:v>
                </c:pt>
                <c:pt idx="8">
                  <c:v>-6.35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AA-4E7A-81E2-39419AF3D854}"/>
            </c:ext>
          </c:extLst>
        </c:ser>
        <c:ser>
          <c:idx val="4"/>
          <c:order val="4"/>
          <c:tx>
            <c:v>FUP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Geometry!$I$50:$I$59</c:f>
              <c:numCache>
                <c:formatCode>0.000</c:formatCode>
                <c:ptCount val="10"/>
                <c:pt idx="0">
                  <c:v>6.35</c:v>
                </c:pt>
                <c:pt idx="1">
                  <c:v>10.1</c:v>
                </c:pt>
                <c:pt idx="2">
                  <c:v>17.600000000000001</c:v>
                </c:pt>
                <c:pt idx="3">
                  <c:v>25.1</c:v>
                </c:pt>
                <c:pt idx="4">
                  <c:v>26.35</c:v>
                </c:pt>
                <c:pt idx="5">
                  <c:v>26.35</c:v>
                </c:pt>
                <c:pt idx="6">
                  <c:v>26.35</c:v>
                </c:pt>
                <c:pt idx="7">
                  <c:v>26.35</c:v>
                </c:pt>
                <c:pt idx="8">
                  <c:v>26.35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AA-4E7A-81E2-39419AF3D854}"/>
            </c:ext>
          </c:extLst>
        </c:ser>
        <c:ser>
          <c:idx val="5"/>
          <c:order val="5"/>
          <c:tx>
            <c:v>FDN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Geometry!$J$50:$J$59</c:f>
              <c:numCache>
                <c:formatCode>0.000</c:formatCode>
                <c:ptCount val="10"/>
                <c:pt idx="0">
                  <c:v>-6.35</c:v>
                </c:pt>
                <c:pt idx="1">
                  <c:v>-10.1</c:v>
                </c:pt>
                <c:pt idx="2">
                  <c:v>-17.600000000000001</c:v>
                </c:pt>
                <c:pt idx="3">
                  <c:v>-25.1</c:v>
                </c:pt>
                <c:pt idx="4">
                  <c:v>-26.35</c:v>
                </c:pt>
                <c:pt idx="5">
                  <c:v>-26.35</c:v>
                </c:pt>
                <c:pt idx="6">
                  <c:v>-26.35</c:v>
                </c:pt>
                <c:pt idx="7">
                  <c:v>-26.35</c:v>
                </c:pt>
                <c:pt idx="8">
                  <c:v>-26.35</c:v>
                </c:pt>
                <c:pt idx="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AA-4E7A-81E2-39419AF3D854}"/>
            </c:ext>
          </c:extLst>
        </c:ser>
        <c:ser>
          <c:idx val="6"/>
          <c:order val="6"/>
          <c:tx>
            <c:v>BT+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Geometry!$H$88:$H$98</c:f>
              <c:numCache>
                <c:formatCode>0.00</c:formatCode>
                <c:ptCount val="11"/>
                <c:pt idx="0">
                  <c:v>130</c:v>
                </c:pt>
                <c:pt idx="1">
                  <c:v>130.5</c:v>
                </c:pt>
                <c:pt idx="2">
                  <c:v>131.5</c:v>
                </c:pt>
                <c:pt idx="3">
                  <c:v>132.5</c:v>
                </c:pt>
                <c:pt idx="4">
                  <c:v>133.5</c:v>
                </c:pt>
                <c:pt idx="5">
                  <c:v>134.5</c:v>
                </c:pt>
                <c:pt idx="6">
                  <c:v>135.5</c:v>
                </c:pt>
                <c:pt idx="7">
                  <c:v>136.5</c:v>
                </c:pt>
                <c:pt idx="8">
                  <c:v>137.5</c:v>
                </c:pt>
                <c:pt idx="9">
                  <c:v>138</c:v>
                </c:pt>
                <c:pt idx="10">
                  <c:v>138</c:v>
                </c:pt>
              </c:numCache>
            </c:numRef>
          </c:xVal>
          <c:yVal>
            <c:numRef>
              <c:f>Geometry!$I$88:$I$98</c:f>
              <c:numCache>
                <c:formatCode>0.00</c:formatCode>
                <c:ptCount val="11"/>
                <c:pt idx="0">
                  <c:v>6.35</c:v>
                </c:pt>
                <c:pt idx="1">
                  <c:v>6.09375</c:v>
                </c:pt>
                <c:pt idx="2">
                  <c:v>5.5812499999999998</c:v>
                </c:pt>
                <c:pt idx="3">
                  <c:v>5.0687499999999996</c:v>
                </c:pt>
                <c:pt idx="4">
                  <c:v>4.5562500000000004</c:v>
                </c:pt>
                <c:pt idx="5">
                  <c:v>4.0437499999999993</c:v>
                </c:pt>
                <c:pt idx="6">
                  <c:v>3.53125</c:v>
                </c:pt>
                <c:pt idx="7">
                  <c:v>3.0187499999999998</c:v>
                </c:pt>
                <c:pt idx="8">
                  <c:v>2.5062500000000001</c:v>
                </c:pt>
                <c:pt idx="9">
                  <c:v>2.25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AA-4E7A-81E2-39419AF3D854}"/>
            </c:ext>
          </c:extLst>
        </c:ser>
        <c:ser>
          <c:idx val="7"/>
          <c:order val="7"/>
          <c:tx>
            <c:v>BT-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Geometry!$H$88:$H$98</c:f>
              <c:numCache>
                <c:formatCode>0.00</c:formatCode>
                <c:ptCount val="11"/>
                <c:pt idx="0">
                  <c:v>130</c:v>
                </c:pt>
                <c:pt idx="1">
                  <c:v>130.5</c:v>
                </c:pt>
                <c:pt idx="2">
                  <c:v>131.5</c:v>
                </c:pt>
                <c:pt idx="3">
                  <c:v>132.5</c:v>
                </c:pt>
                <c:pt idx="4">
                  <c:v>133.5</c:v>
                </c:pt>
                <c:pt idx="5">
                  <c:v>134.5</c:v>
                </c:pt>
                <c:pt idx="6">
                  <c:v>135.5</c:v>
                </c:pt>
                <c:pt idx="7">
                  <c:v>136.5</c:v>
                </c:pt>
                <c:pt idx="8">
                  <c:v>137.5</c:v>
                </c:pt>
                <c:pt idx="9">
                  <c:v>138</c:v>
                </c:pt>
                <c:pt idx="10">
                  <c:v>138</c:v>
                </c:pt>
              </c:numCache>
            </c:numRef>
          </c:xVal>
          <c:yVal>
            <c:numRef>
              <c:f>Geometry!$J$88:$J$98</c:f>
              <c:numCache>
                <c:formatCode>0.00</c:formatCode>
                <c:ptCount val="11"/>
                <c:pt idx="0">
                  <c:v>-6.35</c:v>
                </c:pt>
                <c:pt idx="1">
                  <c:v>-6.09375</c:v>
                </c:pt>
                <c:pt idx="2">
                  <c:v>-5.5812499999999998</c:v>
                </c:pt>
                <c:pt idx="3">
                  <c:v>-5.0687499999999996</c:v>
                </c:pt>
                <c:pt idx="4">
                  <c:v>-4.5562500000000004</c:v>
                </c:pt>
                <c:pt idx="5">
                  <c:v>-4.0437499999999993</c:v>
                </c:pt>
                <c:pt idx="6">
                  <c:v>-3.53125</c:v>
                </c:pt>
                <c:pt idx="7">
                  <c:v>-3.0187499999999998</c:v>
                </c:pt>
                <c:pt idx="8">
                  <c:v>-2.5062500000000001</c:v>
                </c:pt>
                <c:pt idx="9">
                  <c:v>-2.25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AA-4E7A-81E2-39419AF3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5488"/>
        <c:axId val="201180592"/>
      </c:scatterChart>
      <c:valAx>
        <c:axId val="2011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0592"/>
        <c:crosses val="autoZero"/>
        <c:crossBetween val="midCat"/>
      </c:valAx>
      <c:valAx>
        <c:axId val="201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FIN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Geometry!$I$50:$I$59</c:f>
              <c:numCache>
                <c:formatCode>0.000</c:formatCode>
                <c:ptCount val="10"/>
                <c:pt idx="0">
                  <c:v>6.35</c:v>
                </c:pt>
                <c:pt idx="1">
                  <c:v>10.1</c:v>
                </c:pt>
                <c:pt idx="2">
                  <c:v>17.600000000000001</c:v>
                </c:pt>
                <c:pt idx="3">
                  <c:v>25.1</c:v>
                </c:pt>
                <c:pt idx="4">
                  <c:v>26.35</c:v>
                </c:pt>
                <c:pt idx="5">
                  <c:v>26.35</c:v>
                </c:pt>
                <c:pt idx="6">
                  <c:v>26.35</c:v>
                </c:pt>
                <c:pt idx="7">
                  <c:v>26.35</c:v>
                </c:pt>
                <c:pt idx="8">
                  <c:v>26.35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E-4B0F-86D8-090F2C71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3856"/>
        <c:axId val="201184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AERO FIN</c:v>
                </c:tx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Geometry!$K$50:$K$59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84.59999999999998</c:v>
                      </c:pt>
                      <c:pt idx="1">
                        <c:v>110</c:v>
                      </c:pt>
                      <c:pt idx="2">
                        <c:v>110.9375</c:v>
                      </c:pt>
                      <c:pt idx="3">
                        <c:v>112.8125</c:v>
                      </c:pt>
                      <c:pt idx="4">
                        <c:v>114.6875</c:v>
                      </c:pt>
                      <c:pt idx="5">
                        <c:v>116.5625</c:v>
                      </c:pt>
                      <c:pt idx="6">
                        <c:v>118.4375</c:v>
                      </c:pt>
                      <c:pt idx="7">
                        <c:v>120.3125</c:v>
                      </c:pt>
                      <c:pt idx="8">
                        <c:v>125</c:v>
                      </c:pt>
                      <c:pt idx="9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Geometry!$L$50:$L$59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3</c:v>
                      </c:pt>
                      <c:pt idx="2">
                        <c:v>10.1</c:v>
                      </c:pt>
                      <c:pt idx="3">
                        <c:v>17.600000000000001</c:v>
                      </c:pt>
                      <c:pt idx="4">
                        <c:v>25.1</c:v>
                      </c:pt>
                      <c:pt idx="5">
                        <c:v>26.35</c:v>
                      </c:pt>
                      <c:pt idx="6">
                        <c:v>26.35</c:v>
                      </c:pt>
                      <c:pt idx="7">
                        <c:v>26.35</c:v>
                      </c:pt>
                      <c:pt idx="8">
                        <c:v>26.35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EFD-4F75-B961-07E1A551384F}"/>
                  </c:ext>
                </c:extLst>
              </c15:ser>
            </c15:filteredScatterSeries>
          </c:ext>
        </c:extLst>
      </c:scatterChart>
      <c:valAx>
        <c:axId val="201183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4400"/>
        <c:crosses val="autoZero"/>
        <c:crossBetween val="midCat"/>
      </c:valAx>
      <c:valAx>
        <c:axId val="201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Geometry!$H$88:$H$97</c:f>
              <c:numCache>
                <c:formatCode>0.00</c:formatCode>
                <c:ptCount val="10"/>
                <c:pt idx="0">
                  <c:v>130</c:v>
                </c:pt>
                <c:pt idx="1">
                  <c:v>130.5</c:v>
                </c:pt>
                <c:pt idx="2">
                  <c:v>131.5</c:v>
                </c:pt>
                <c:pt idx="3">
                  <c:v>132.5</c:v>
                </c:pt>
                <c:pt idx="4">
                  <c:v>133.5</c:v>
                </c:pt>
                <c:pt idx="5">
                  <c:v>134.5</c:v>
                </c:pt>
                <c:pt idx="6">
                  <c:v>135.5</c:v>
                </c:pt>
                <c:pt idx="7">
                  <c:v>136.5</c:v>
                </c:pt>
                <c:pt idx="8">
                  <c:v>137.5</c:v>
                </c:pt>
                <c:pt idx="9">
                  <c:v>138</c:v>
                </c:pt>
              </c:numCache>
            </c:numRef>
          </c:xVal>
          <c:yVal>
            <c:numRef>
              <c:f>Geometry!$I$88:$I$97</c:f>
              <c:numCache>
                <c:formatCode>0.00</c:formatCode>
                <c:ptCount val="10"/>
                <c:pt idx="0">
                  <c:v>6.35</c:v>
                </c:pt>
                <c:pt idx="1">
                  <c:v>6.09375</c:v>
                </c:pt>
                <c:pt idx="2">
                  <c:v>5.5812499999999998</c:v>
                </c:pt>
                <c:pt idx="3">
                  <c:v>5.0687499999999996</c:v>
                </c:pt>
                <c:pt idx="4">
                  <c:v>4.5562500000000004</c:v>
                </c:pt>
                <c:pt idx="5">
                  <c:v>4.0437499999999993</c:v>
                </c:pt>
                <c:pt idx="6">
                  <c:v>3.53125</c:v>
                </c:pt>
                <c:pt idx="7">
                  <c:v>3.0187499999999998</c:v>
                </c:pt>
                <c:pt idx="8">
                  <c:v>2.5062500000000001</c:v>
                </c:pt>
                <c:pt idx="9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6-44B8-AE9B-6F70EF49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4944"/>
        <c:axId val="201186032"/>
      </c:scatterChart>
      <c:valAx>
        <c:axId val="2011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6032"/>
        <c:crosses val="autoZero"/>
        <c:crossBetween val="midCat"/>
      </c:valAx>
      <c:valAx>
        <c:axId val="201186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UP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Geometry!$H$50:$H$59</c:f>
              <c:numCache>
                <c:formatCode>0.000</c:formatCode>
                <c:ptCount val="10"/>
                <c:pt idx="0">
                  <c:v>110</c:v>
                </c:pt>
                <c:pt idx="1">
                  <c:v>110.9375</c:v>
                </c:pt>
                <c:pt idx="2">
                  <c:v>112.8125</c:v>
                </c:pt>
                <c:pt idx="3">
                  <c:v>114.6875</c:v>
                </c:pt>
                <c:pt idx="4">
                  <c:v>116.5625</c:v>
                </c:pt>
                <c:pt idx="5">
                  <c:v>118.4375</c:v>
                </c:pt>
                <c:pt idx="6">
                  <c:v>120.3125</c:v>
                </c:pt>
                <c:pt idx="7">
                  <c:v>122.1875</c:v>
                </c:pt>
                <c:pt idx="8">
                  <c:v>125</c:v>
                </c:pt>
                <c:pt idx="9">
                  <c:v>125</c:v>
                </c:pt>
              </c:numCache>
            </c:numRef>
          </c:xVal>
          <c:yVal>
            <c:numRef>
              <c:f>Geometry!$I$50:$I$59</c:f>
              <c:numCache>
                <c:formatCode>0.000</c:formatCode>
                <c:ptCount val="10"/>
                <c:pt idx="0">
                  <c:v>6.35</c:v>
                </c:pt>
                <c:pt idx="1">
                  <c:v>10.1</c:v>
                </c:pt>
                <c:pt idx="2">
                  <c:v>17.600000000000001</c:v>
                </c:pt>
                <c:pt idx="3">
                  <c:v>25.1</c:v>
                </c:pt>
                <c:pt idx="4">
                  <c:v>26.35</c:v>
                </c:pt>
                <c:pt idx="5">
                  <c:v>26.35</c:v>
                </c:pt>
                <c:pt idx="6">
                  <c:v>26.35</c:v>
                </c:pt>
                <c:pt idx="7">
                  <c:v>26.35</c:v>
                </c:pt>
                <c:pt idx="8">
                  <c:v>26.35</c:v>
                </c:pt>
                <c:pt idx="9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0-43FF-B993-9F8CAD72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7120"/>
        <c:axId val="201181136"/>
      </c:scatterChart>
      <c:valAx>
        <c:axId val="2011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1136"/>
        <c:crosses val="autoZero"/>
        <c:crossBetween val="midCat"/>
      </c:valAx>
      <c:valAx>
        <c:axId val="201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304800</xdr:colOff>
      <xdr:row>62</xdr:row>
      <xdr:rowOff>171450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3B3C67-1ABC-2789-344B-126A3B5F8F18}"/>
            </a:ext>
          </a:extLst>
        </xdr:cNvPr>
        <xdr:cNvSpPr txBox="1"/>
      </xdr:nvSpPr>
      <xdr:spPr>
        <a:xfrm>
          <a:off x="5791200" y="180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0</xdr:colOff>
      <xdr:row>221</xdr:row>
      <xdr:rowOff>3810</xdr:rowOff>
    </xdr:from>
    <xdr:ext cx="1988820" cy="4735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7A524B4-13F7-A024-0584-ED9E880D868F}"/>
                </a:ext>
              </a:extLst>
            </xdr:cNvPr>
            <xdr:cNvSpPr txBox="1"/>
          </xdr:nvSpPr>
          <xdr:spPr>
            <a:xfrm>
              <a:off x="0" y="19168110"/>
              <a:ext cx="1988820" cy="473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s-MX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𝛾</m:t>
                                </m:r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num>
                              <m:den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p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MX" sz="11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7A524B4-13F7-A024-0584-ED9E880D868F}"/>
                </a:ext>
              </a:extLst>
            </xdr:cNvPr>
            <xdr:cNvSpPr txBox="1"/>
          </xdr:nvSpPr>
          <xdr:spPr>
            <a:xfrm>
              <a:off x="0" y="19168110"/>
              <a:ext cx="1988820" cy="473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_0</a:t>
              </a:r>
              <a:r>
                <a:rPr lang="es-MX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s-MX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=(1+(𝛾−1)/2 𝑀^2 )^(1/(𝛾−1))</a:t>
              </a:r>
              <a:endParaRPr lang="es-MX" sz="1100" kern="1200"/>
            </a:p>
          </xdr:txBody>
        </xdr:sp>
      </mc:Fallback>
    </mc:AlternateContent>
    <xdr:clientData/>
  </xdr:oneCellAnchor>
  <xdr:twoCellAnchor>
    <xdr:from>
      <xdr:col>0</xdr:col>
      <xdr:colOff>22860</xdr:colOff>
      <xdr:row>226</xdr:row>
      <xdr:rowOff>15240</xdr:rowOff>
    </xdr:from>
    <xdr:to>
      <xdr:col>3</xdr:col>
      <xdr:colOff>495300</xdr:colOff>
      <xdr:row>237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96CF88-4D17-58E0-4547-0F4FEA49BBCA}"/>
            </a:ext>
            <a:ext uri="{147F2762-F138-4A5C-976F-8EAC2B608ADB}">
              <a16:predDERef xmlns:a16="http://schemas.microsoft.com/office/drawing/2014/main" pred="{37A524B4-13F7-A024-0584-ED9E880D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106680</xdr:colOff>
      <xdr:row>239</xdr:row>
      <xdr:rowOff>34290</xdr:rowOff>
    </xdr:from>
    <xdr:ext cx="95135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27C3274-15D1-951A-7FD8-DA1BEAC20F75}"/>
                </a:ext>
              </a:extLst>
            </xdr:cNvPr>
            <xdr:cNvSpPr txBox="1"/>
          </xdr:nvSpPr>
          <xdr:spPr>
            <a:xfrm>
              <a:off x="106680" y="22246590"/>
              <a:ext cx="95135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 kern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27C3274-15D1-951A-7FD8-DA1BEAC20F75}"/>
                </a:ext>
              </a:extLst>
            </xdr:cNvPr>
            <xdr:cNvSpPr txBox="1"/>
          </xdr:nvSpPr>
          <xdr:spPr>
            <a:xfrm>
              <a:off x="106680" y="22246590"/>
              <a:ext cx="95135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𝑃=𝑃_0−1/2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 𝜌𝑉^2</a:t>
              </a:r>
              <a:endParaRPr lang="es-MX" sz="1100" kern="1200"/>
            </a:p>
          </xdr:txBody>
        </xdr:sp>
      </mc:Fallback>
    </mc:AlternateContent>
    <xdr:clientData/>
  </xdr:oneCellAnchor>
  <xdr:oneCellAnchor>
    <xdr:from>
      <xdr:col>0</xdr:col>
      <xdr:colOff>69575</xdr:colOff>
      <xdr:row>249</xdr:row>
      <xdr:rowOff>66260</xdr:rowOff>
    </xdr:from>
    <xdr:ext cx="810927" cy="3869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AE2CABF-230F-1FCE-16A4-CED18BDBB96F}"/>
                </a:ext>
              </a:extLst>
            </xdr:cNvPr>
            <xdr:cNvSpPr txBox="1"/>
          </xdr:nvSpPr>
          <xdr:spPr>
            <a:xfrm>
              <a:off x="69575" y="23668382"/>
              <a:ext cx="810927" cy="3869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AE2CABF-230F-1FCE-16A4-CED18BDBB96F}"/>
                </a:ext>
              </a:extLst>
            </xdr:cNvPr>
            <xdr:cNvSpPr txBox="1"/>
          </xdr:nvSpPr>
          <xdr:spPr>
            <a:xfrm>
              <a:off x="69575" y="23668382"/>
              <a:ext cx="810927" cy="3869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𝑇=𝑇_0−𝑉^2/(2𝑐_𝑝 )</a:t>
              </a:r>
              <a:endParaRPr lang="es-MX" sz="1100" kern="1200"/>
            </a:p>
          </xdr:txBody>
        </xdr:sp>
      </mc:Fallback>
    </mc:AlternateContent>
    <xdr:clientData/>
  </xdr:oneCellAnchor>
  <xdr:oneCellAnchor>
    <xdr:from>
      <xdr:col>0</xdr:col>
      <xdr:colOff>69574</xdr:colOff>
      <xdr:row>252</xdr:row>
      <xdr:rowOff>19879</xdr:rowOff>
    </xdr:from>
    <xdr:ext cx="847989" cy="460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015B4A1-1918-BE89-980C-B85DE46BD6BC}"/>
                </a:ext>
              </a:extLst>
            </xdr:cNvPr>
            <xdr:cNvSpPr txBox="1"/>
          </xdr:nvSpPr>
          <xdr:spPr>
            <a:xfrm>
              <a:off x="69574" y="24118957"/>
              <a:ext cx="847989" cy="460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num>
                          <m:den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MX" sz="1100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015B4A1-1918-BE89-980C-B85DE46BD6BC}"/>
                </a:ext>
              </a:extLst>
            </xdr:cNvPr>
            <xdr:cNvSpPr txBox="1"/>
          </xdr:nvSpPr>
          <xdr:spPr>
            <a:xfrm>
              <a:off x="69574" y="24118957"/>
              <a:ext cx="847989" cy="460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𝑃/𝑃_0 =(𝑇/𝑇_0 )^(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𝛾/(𝛾−1))</a:t>
              </a:r>
              <a:endParaRPr lang="es-MX" sz="1100" kern="1200"/>
            </a:p>
          </xdr:txBody>
        </xdr:sp>
      </mc:Fallback>
    </mc:AlternateContent>
    <xdr:clientData/>
  </xdr:oneCellAnchor>
  <xdr:twoCellAnchor editAs="oneCell">
    <xdr:from>
      <xdr:col>0</xdr:col>
      <xdr:colOff>111369</xdr:colOff>
      <xdr:row>117</xdr:row>
      <xdr:rowOff>112275</xdr:rowOff>
    </xdr:from>
    <xdr:to>
      <xdr:col>4</xdr:col>
      <xdr:colOff>400050</xdr:colOff>
      <xdr:row>143</xdr:row>
      <xdr:rowOff>117565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F80604-448F-B015-D105-A97A13CB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69" y="20171925"/>
          <a:ext cx="2765181" cy="447251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373790</xdr:colOff>
      <xdr:row>123</xdr:row>
      <xdr:rowOff>28575</xdr:rowOff>
    </xdr:from>
    <xdr:to>
      <xdr:col>11</xdr:col>
      <xdr:colOff>143589</xdr:colOff>
      <xdr:row>139</xdr:row>
      <xdr:rowOff>29199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846C0C-F558-AFB6-E24C-A1AB278BB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4165" y="21126450"/>
          <a:ext cx="3141649" cy="27438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209550</xdr:colOff>
      <xdr:row>147</xdr:row>
      <xdr:rowOff>42862</xdr:rowOff>
    </xdr:from>
    <xdr:ext cx="2313069" cy="565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BA3FBC-9103-9850-09A8-DDCD8887D004}"/>
                </a:ext>
              </a:extLst>
            </xdr:cNvPr>
            <xdr:cNvSpPr txBox="1"/>
          </xdr:nvSpPr>
          <xdr:spPr>
            <a:xfrm>
              <a:off x="209550" y="25255537"/>
              <a:ext cx="2313069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p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p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p>
                                      <m:sSupPr>
                                        <m:ctrlPr>
                                          <a:rPr lang="en-US" sz="11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 kern="1200">
                                            <a:latin typeface="Cambria Math" panose="02040503050406030204" pitchFamily="18" charset="0"/>
                                          </a:rPr>
                                          <m:t>𝑀</m:t>
                                        </m:r>
                                      </m:e>
                                      <m:sup>
                                        <m:r>
                                          <a:rPr lang="en-US" sz="1100" b="0" i="1" kern="120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e>
                        </m:d>
                        <m:sSub>
                          <m:sSub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/2</m:t>
                        </m:r>
                      </m:den>
                    </m:f>
                  </m:oMath>
                </m:oMathPara>
              </a14:m>
              <a:endParaRPr lang="es-MX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BA3FBC-9103-9850-09A8-DDCD8887D004}"/>
                </a:ext>
              </a:extLst>
            </xdr:cNvPr>
            <xdr:cNvSpPr txBox="1"/>
          </xdr:nvSpPr>
          <xdr:spPr>
            <a:xfrm>
              <a:off x="209550" y="25255537"/>
              <a:ext cx="2313069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𝐶_𝑝=𝐶_𝑝0/(√(1−𝑀^2 )+[𝑀^2/(1+√(1−𝑀^2 ))] 𝐶_𝑝0/2)</a:t>
              </a:r>
              <a:endParaRPr lang="es-MX" sz="1100" kern="1200"/>
            </a:p>
          </xdr:txBody>
        </xdr:sp>
      </mc:Fallback>
    </mc:AlternateContent>
    <xdr:clientData/>
  </xdr:oneCellAnchor>
  <xdr:oneCellAnchor>
    <xdr:from>
      <xdr:col>0</xdr:col>
      <xdr:colOff>266700</xdr:colOff>
      <xdr:row>151</xdr:row>
      <xdr:rowOff>157162</xdr:rowOff>
    </xdr:from>
    <xdr:ext cx="2534220" cy="712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B7E12D9-9242-9E1C-099C-D2BBD2CCD9CB}"/>
                </a:ext>
              </a:extLst>
            </xdr:cNvPr>
            <xdr:cNvSpPr txBox="1"/>
          </xdr:nvSpPr>
          <xdr:spPr>
            <a:xfrm>
              <a:off x="266700" y="26055637"/>
              <a:ext cx="2534220" cy="712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𝑐𝑟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sSubSup>
                          <m:sSub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𝑐𝑟</m:t>
                            </m:r>
                          </m:sub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f>
                                      <m:fPr>
                                        <m:ctrlPr>
                                          <a:rPr lang="en-US" sz="1100" b="0" i="1" kern="1200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0" i="1" kern="1200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𝛾</m:t>
                                        </m:r>
                                        <m:r>
                                          <a:rPr lang="en-US" sz="1100" b="0" i="1" kern="1200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−1</m:t>
                                        </m:r>
                                      </m:num>
                                      <m:den>
                                        <m:r>
                                          <a:rPr lang="en-US" sz="1100" b="0" i="1" kern="1200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  <m:sSubSup>
                                  <m:sSubSupPr>
                                    <m:ctrlP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𝑐𝑟</m:t>
                                    </m:r>
                                  </m:sub>
                                  <m:sup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en-US" sz="11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𝛾</m:t>
                                    </m:r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num>
                                  <m:den>
                                    <m:r>
                                      <a:rPr lang="en-US" sz="11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num>
                          <m:den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sup>
                    </m:sSup>
                    <m:r>
                      <a:rPr lang="en-US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MX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B7E12D9-9242-9E1C-099C-D2BBD2CCD9CB}"/>
                </a:ext>
              </a:extLst>
            </xdr:cNvPr>
            <xdr:cNvSpPr txBox="1"/>
          </xdr:nvSpPr>
          <xdr:spPr>
            <a:xfrm>
              <a:off x="266700" y="26055637"/>
              <a:ext cx="2534220" cy="712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𝐶_(𝑝,𝑐𝑟)=2/(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𝛾𝑀_𝑐𝑟^2 )</a:t>
              </a:r>
              <a:r>
                <a:rPr lang="en-US" sz="1100" b="0" i="0" kern="1200">
                  <a:latin typeface="Cambria Math" panose="02040503050406030204" pitchFamily="18" charset="0"/>
                </a:rPr>
                <a:t>[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(((</a:t>
              </a:r>
              <a:r>
                <a:rPr lang="en-US" sz="1100" b="0" i="0" kern="1200">
                  <a:latin typeface="Cambria Math" panose="02040503050406030204" pitchFamily="18" charset="0"/>
                </a:rPr>
                <a:t>1+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(𝛾−1)/2) 𝑀_𝑐𝑟^2)/(1+(𝛾−1)/2))^(𝛾/(𝛾−1))−1</a:t>
              </a:r>
              <a:r>
                <a:rPr lang="en-US" sz="1100" b="0" i="0" kern="1200">
                  <a:latin typeface="Cambria Math" panose="02040503050406030204" pitchFamily="18" charset="0"/>
                </a:rPr>
                <a:t>]</a:t>
              </a:r>
              <a:endParaRPr lang="es-MX" sz="1100" kern="1200"/>
            </a:p>
          </xdr:txBody>
        </xdr:sp>
      </mc:Fallback>
    </mc:AlternateContent>
    <xdr:clientData/>
  </xdr:oneCellAnchor>
  <xdr:twoCellAnchor>
    <xdr:from>
      <xdr:col>3</xdr:col>
      <xdr:colOff>228608</xdr:colOff>
      <xdr:row>165</xdr:row>
      <xdr:rowOff>76208</xdr:rowOff>
    </xdr:from>
    <xdr:to>
      <xdr:col>11</xdr:col>
      <xdr:colOff>381008</xdr:colOff>
      <xdr:row>186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EB7F2F-3037-0F02-65F4-9470FC24037D}"/>
            </a:ext>
            <a:ext uri="{147F2762-F138-4A5C-976F-8EAC2B608ADB}">
              <a16:predDERef xmlns:a16="http://schemas.microsoft.com/office/drawing/2014/main" pred="{4B7E12D9-9242-9E1C-099C-D2BBD2CC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</xdr:colOff>
      <xdr:row>191</xdr:row>
      <xdr:rowOff>100013</xdr:rowOff>
    </xdr:from>
    <xdr:to>
      <xdr:col>11</xdr:col>
      <xdr:colOff>238125</xdr:colOff>
      <xdr:row>207</xdr:row>
      <xdr:rowOff>100013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1B4768-DDEF-37F2-E2F6-DF6922649F41}"/>
            </a:ext>
            <a:ext uri="{147F2762-F138-4A5C-976F-8EAC2B608ADB}">
              <a16:predDERef xmlns:a16="http://schemas.microsoft.com/office/drawing/2014/main" pred="{10EB7F2F-3037-0F02-65F4-9470FC24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31824</xdr:colOff>
      <xdr:row>12</xdr:row>
      <xdr:rowOff>15241</xdr:rowOff>
    </xdr:from>
    <xdr:to>
      <xdr:col>6</xdr:col>
      <xdr:colOff>595704</xdr:colOff>
      <xdr:row>21</xdr:row>
      <xdr:rowOff>160021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E0E67-9C36-058A-4D85-04C0B1DFF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6</xdr:col>
      <xdr:colOff>594360</xdr:colOff>
      <xdr:row>39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8D49A-3629-4BBF-9581-DB9D69B8A541}"/>
            </a:ext>
            <a:ext uri="{147F2762-F138-4A5C-976F-8EAC2B608ADB}">
              <a16:predDERef xmlns:a16="http://schemas.microsoft.com/office/drawing/2014/main" pred="{AF0E0E67-9C36-058A-4D85-04C0B1DFF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7395</xdr:colOff>
      <xdr:row>0</xdr:row>
      <xdr:rowOff>188820</xdr:rowOff>
    </xdr:from>
    <xdr:to>
      <xdr:col>14</xdr:col>
      <xdr:colOff>354105</xdr:colOff>
      <xdr:row>9</xdr:row>
      <xdr:rowOff>169770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5D049-9711-4AD6-8388-EAF961A55C4C}"/>
            </a:ext>
            <a:ext uri="{147F2762-F138-4A5C-976F-8EAC2B608ADB}">
              <a16:predDERef xmlns:a16="http://schemas.microsoft.com/office/drawing/2014/main" pred="{E128D49A-3629-4BBF-9581-DB9D69B8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26896</xdr:colOff>
      <xdr:row>49</xdr:row>
      <xdr:rowOff>26895</xdr:rowOff>
    </xdr:from>
    <xdr:to>
      <xdr:col>6</xdr:col>
      <xdr:colOff>555813</xdr:colOff>
      <xdr:row>58</xdr:row>
      <xdr:rowOff>143436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CC32F9-70E7-407E-A2B4-7366728088AD}"/>
            </a:ext>
            <a:ext uri="{147F2762-F138-4A5C-976F-8EAC2B608ADB}">
              <a16:predDERef xmlns:a16="http://schemas.microsoft.com/office/drawing/2014/main" pred="{4705D049-9711-4AD6-8388-EAF961A55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6</xdr:col>
      <xdr:colOff>594360</xdr:colOff>
      <xdr:row>96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CC376-444D-4A69-B396-08361C76F808}"/>
            </a:ext>
            <a:ext uri="{147F2762-F138-4A5C-976F-8EAC2B608ADB}">
              <a16:predDERef xmlns:a16="http://schemas.microsoft.com/office/drawing/2014/main" pred="{64CC32F9-70E7-407E-A2B4-736672808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18</xdr:col>
      <xdr:colOff>594360</xdr:colOff>
      <xdr:row>58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5CA873-26E1-4AC6-B585-4EB97F3C73DC}"/>
            </a:ext>
            <a:ext uri="{147F2762-F138-4A5C-976F-8EAC2B608ADB}">
              <a16:predDERef xmlns:a16="http://schemas.microsoft.com/office/drawing/2014/main" pred="{250CC376-444D-4A69-B396-08361C76F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31824</xdr:colOff>
      <xdr:row>12</xdr:row>
      <xdr:rowOff>15241</xdr:rowOff>
    </xdr:from>
    <xdr:to>
      <xdr:col>18</xdr:col>
      <xdr:colOff>595704</xdr:colOff>
      <xdr:row>21</xdr:row>
      <xdr:rowOff>160021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60D0BB-D2DB-4D29-AC4E-706AD0B20703}"/>
            </a:ext>
            <a:ext uri="{147F2762-F138-4A5C-976F-8EAC2B608ADB}">
              <a16:predDERef xmlns:a16="http://schemas.microsoft.com/office/drawing/2014/main" pred="{C15CA873-26E1-4AC6-B585-4EB97F3C7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19</xdr:col>
      <xdr:colOff>206375</xdr:colOff>
      <xdr:row>23</xdr:row>
      <xdr:rowOff>82550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2E01F0-7A94-06DF-7AB3-CD6A31C3FE8D}"/>
            </a:ext>
          </a:extLst>
        </xdr:cNvPr>
        <xdr:cNvSpPr txBox="1"/>
      </xdr:nvSpPr>
      <xdr:spPr>
        <a:xfrm>
          <a:off x="14131925" y="4470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22225</xdr:colOff>
      <xdr:row>22</xdr:row>
      <xdr:rowOff>139700</xdr:rowOff>
    </xdr:from>
    <xdr:ext cx="2045945" cy="210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20D1765-6CE0-A43C-C2C3-6C5CED27D83A}"/>
                </a:ext>
              </a:extLst>
            </xdr:cNvPr>
            <xdr:cNvSpPr txBox="1"/>
          </xdr:nvSpPr>
          <xdr:spPr>
            <a:xfrm>
              <a:off x="13947775" y="4343400"/>
              <a:ext cx="2045945" cy="210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−(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20D1765-6CE0-A43C-C2C3-6C5CED27D83A}"/>
                </a:ext>
              </a:extLst>
            </xdr:cNvPr>
            <xdr:cNvSpPr txBox="1"/>
          </xdr:nvSpPr>
          <xdr:spPr>
            <a:xfrm>
              <a:off x="13947775" y="4343400"/>
              <a:ext cx="2045945" cy="210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𝑓(𝑥)=√(𝑅^2−(𝐿−𝑥)^2 )−(𝑅−𝑟)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269875</xdr:colOff>
      <xdr:row>24</xdr:row>
      <xdr:rowOff>101600</xdr:rowOff>
    </xdr:from>
    <xdr:ext cx="841375" cy="342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BB379C5-A5E3-077C-7C48-41207301E333}"/>
                </a:ext>
              </a:extLst>
            </xdr:cNvPr>
            <xdr:cNvSpPr txBox="1"/>
          </xdr:nvSpPr>
          <xdr:spPr>
            <a:xfrm>
              <a:off x="14195425" y="4673600"/>
              <a:ext cx="841375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4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s-MX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MX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4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es-MX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p>
                          <m:r>
                            <a:rPr lang="es-MX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s-MX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p>
                          <m:r>
                            <a:rPr lang="es-MX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s-MX" sz="1400" b="0" i="0">
                          <a:latin typeface="Cambria Math" panose="02040503050406030204" pitchFamily="18" charset="0"/>
                        </a:rPr>
                        <m:t>2</m:t>
                      </m:r>
                      <m:r>
                        <m:rPr>
                          <m:sty m:val="p"/>
                        </m:rPr>
                        <a:rPr lang="es-MX" sz="1400" b="0" i="0">
                          <a:latin typeface="Cambria Math" panose="02040503050406030204" pitchFamily="18" charset="0"/>
                        </a:rPr>
                        <m:t>r</m:t>
                      </m:r>
                    </m:den>
                  </m:f>
                </m:oMath>
              </a14:m>
              <a:r>
                <a:rPr lang="en-US" sz="14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BB379C5-A5E3-077C-7C48-41207301E333}"/>
                </a:ext>
              </a:extLst>
            </xdr:cNvPr>
            <xdr:cNvSpPr txBox="1"/>
          </xdr:nvSpPr>
          <xdr:spPr>
            <a:xfrm>
              <a:off x="14195425" y="4673600"/>
              <a:ext cx="841375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𝑅=(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𝑟^2+𝐿^2)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400" b="0" i="0">
                  <a:latin typeface="Cambria Math" panose="02040503050406030204" pitchFamily="18" charset="0"/>
                </a:rPr>
                <a:t>2r</a:t>
              </a:r>
              <a:r>
                <a:rPr lang="en-US" sz="1400"/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307341</xdr:colOff>
      <xdr:row>1</xdr:row>
      <xdr:rowOff>12065</xdr:rowOff>
    </xdr:from>
    <xdr:to>
      <xdr:col>11</xdr:col>
      <xdr:colOff>688341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537F2-31BC-477B-A2BA-3324E8A5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697866</xdr:colOff>
      <xdr:row>1</xdr:row>
      <xdr:rowOff>21590</xdr:rowOff>
    </xdr:from>
    <xdr:to>
      <xdr:col>22</xdr:col>
      <xdr:colOff>616586</xdr:colOff>
      <xdr:row>11</xdr:row>
      <xdr:rowOff>6985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AE237-AB9B-443B-9AC6-0A486D849990}"/>
            </a:ext>
            <a:ext uri="{147F2762-F138-4A5C-976F-8EAC2B608ADB}">
              <a16:predDERef xmlns:a16="http://schemas.microsoft.com/office/drawing/2014/main" pred="{E3C537F2-31BC-477B-A2BA-3324E8A5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18</xdr:row>
      <xdr:rowOff>45720</xdr:rowOff>
    </xdr:from>
    <xdr:to>
      <xdr:col>20</xdr:col>
      <xdr:colOff>462280</xdr:colOff>
      <xdr:row>19</xdr:row>
      <xdr:rowOff>154940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877167B-41EB-4438-B309-3687EC1249E9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1YW5sZWR1LW15LnNoYXJlcG9pbnQuY29tLzp1Oi9nL3BlcnNvbmFsL2p1YW5fdmFsYWRlem9fdWFubF9lZHVfbXgvRWZvVnBMM2VtV3RPbzlUVTRvVUlHQmNCRlJyQnlnX2V0OW1LWVd3VTNFU3NaUQ&quot;}"/>
            </a:ext>
          </a:extLst>
        </xdr:cNvPr>
        <xdr:cNvSpPr/>
      </xdr:nvSpPr>
      <xdr:spPr>
        <a:xfrm>
          <a:off x="11445240" y="3368040"/>
          <a:ext cx="1231900" cy="292100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/>
            <a:t>InertiaTensor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15</xdr:row>
      <xdr:rowOff>9525</xdr:rowOff>
    </xdr:from>
    <xdr:to>
      <xdr:col>17</xdr:col>
      <xdr:colOff>487061</xdr:colOff>
      <xdr:row>23</xdr:row>
      <xdr:rowOff>168500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467C2-2019-BCCC-3B09-5F212FBC3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975" y="3362325"/>
          <a:ext cx="9208786" cy="1606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134470</xdr:colOff>
      <xdr:row>170</xdr:row>
      <xdr:rowOff>14941</xdr:rowOff>
    </xdr:from>
    <xdr:to>
      <xdr:col>10</xdr:col>
      <xdr:colOff>709705</xdr:colOff>
      <xdr:row>181</xdr:row>
      <xdr:rowOff>104588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476249</xdr:colOff>
      <xdr:row>227</xdr:row>
      <xdr:rowOff>33617</xdr:rowOff>
    </xdr:from>
    <xdr:to>
      <xdr:col>9</xdr:col>
      <xdr:colOff>907676</xdr:colOff>
      <xdr:row>237</xdr:row>
      <xdr:rowOff>100854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459441</xdr:colOff>
      <xdr:row>239</xdr:row>
      <xdr:rowOff>56030</xdr:rowOff>
    </xdr:from>
    <xdr:to>
      <xdr:col>9</xdr:col>
      <xdr:colOff>907676</xdr:colOff>
      <xdr:row>249</xdr:row>
      <xdr:rowOff>123267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7471</xdr:colOff>
      <xdr:row>3</xdr:row>
      <xdr:rowOff>4390</xdr:rowOff>
    </xdr:from>
    <xdr:to>
      <xdr:col>15</xdr:col>
      <xdr:colOff>425825</xdr:colOff>
      <xdr:row>19</xdr:row>
      <xdr:rowOff>161411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733D0-702B-9D6D-B7A4-AE79237D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9346" y="556840"/>
          <a:ext cx="3113929" cy="3052621"/>
        </a:xfrm>
        <a:prstGeom prst="rect">
          <a:avLst/>
        </a:prstGeom>
      </xdr:spPr>
    </xdr:pic>
    <xdr:clientData/>
  </xdr:twoCellAnchor>
  <xdr:oneCellAnchor>
    <xdr:from>
      <xdr:col>15</xdr:col>
      <xdr:colOff>39594</xdr:colOff>
      <xdr:row>22</xdr:row>
      <xdr:rowOff>62008</xdr:rowOff>
    </xdr:from>
    <xdr:ext cx="1251240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898092-0340-1DEC-094C-4073F2FA1F95}"/>
                </a:ext>
              </a:extLst>
            </xdr:cNvPr>
            <xdr:cNvSpPr txBox="1"/>
          </xdr:nvSpPr>
          <xdr:spPr>
            <a:xfrm>
              <a:off x="13927044" y="4052983"/>
              <a:ext cx="1251240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𝑟𝑒𝑓</m:t>
                        </m:r>
                      </m:sub>
                    </m:sSub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xmlns:a14="http://schemas.microsoft.com/office/drawing/2010/main" id="{2D898092-0340-1DEC-094C-4073F2FA1F95}"/>
                </a:ext>
              </a:extLst>
            </xdr:cNvPr>
            <xdr:cNvSpPr txBox="1"/>
          </xdr:nvSpPr>
          <xdr:spPr>
            <a:xfrm>
              <a:off x="13927044" y="4052983"/>
              <a:ext cx="1251240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𝐹=𝑞 ̅𝐴_𝑟𝑒𝑓 𝐶_𝐹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12</xdr:col>
      <xdr:colOff>91888</xdr:colOff>
      <xdr:row>81</xdr:row>
      <xdr:rowOff>24652</xdr:rowOff>
    </xdr:from>
    <xdr:ext cx="1027654" cy="4890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1283763" y="14731252"/>
              <a:ext cx="1027654" cy="4890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𝑍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es-MX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283763" y="14731252"/>
              <a:ext cx="1027654" cy="4890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𝑀_𝑍  𝑓𝑜𝑟 𝐹_𝑌</a:t>
              </a:r>
              <a:endParaRPr lang="es-MX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12</xdr:col>
      <xdr:colOff>91888</xdr:colOff>
      <xdr:row>82</xdr:row>
      <xdr:rowOff>91889</xdr:rowOff>
    </xdr:from>
    <xdr:ext cx="1013033" cy="256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1283763" y="14979464"/>
              <a:ext cx="1013033" cy="256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𝑍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1283763" y="14979464"/>
              <a:ext cx="1013033" cy="256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𝑀_𝑌  𝑓𝑜𝑟 𝐹_𝑍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15</xdr:col>
      <xdr:colOff>46317</xdr:colOff>
      <xdr:row>24</xdr:row>
      <xdr:rowOff>23908</xdr:rowOff>
    </xdr:from>
    <xdr:ext cx="1549911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D898092-0340-1DEC-094C-4073F2FA1F95}"/>
                </a:ext>
              </a:extLst>
            </xdr:cNvPr>
            <xdr:cNvSpPr txBox="1"/>
          </xdr:nvSpPr>
          <xdr:spPr>
            <a:xfrm>
              <a:off x="13933767" y="4376833"/>
              <a:ext cx="1549911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𝑟𝑒𝑓</m:t>
                        </m:r>
                      </m:sub>
                    </m:sSub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xmlns:a14="http://schemas.microsoft.com/office/drawing/2010/main" id="{2D898092-0340-1DEC-094C-4073F2FA1F95}"/>
                </a:ext>
              </a:extLst>
            </xdr:cNvPr>
            <xdr:cNvSpPr txBox="1"/>
          </xdr:nvSpPr>
          <xdr:spPr>
            <a:xfrm>
              <a:off x="13933767" y="4376833"/>
              <a:ext cx="1549911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𝑀=𝑞 ̅𝐴_𝑟𝑒𝑓 𝐿_𝑟 𝐶_𝑀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7471</xdr:colOff>
      <xdr:row>3</xdr:row>
      <xdr:rowOff>4390</xdr:rowOff>
    </xdr:from>
    <xdr:to>
      <xdr:col>15</xdr:col>
      <xdr:colOff>425825</xdr:colOff>
      <xdr:row>19</xdr:row>
      <xdr:rowOff>161411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D733D0-702B-9D6D-B7A4-AE79237D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1059" y="377919"/>
          <a:ext cx="2883647" cy="3145256"/>
        </a:xfrm>
        <a:prstGeom prst="rect">
          <a:avLst/>
        </a:prstGeom>
      </xdr:spPr>
    </xdr:pic>
    <xdr:clientData/>
  </xdr:twoCellAnchor>
  <xdr:oneCellAnchor>
    <xdr:from>
      <xdr:col>15</xdr:col>
      <xdr:colOff>39594</xdr:colOff>
      <xdr:row>22</xdr:row>
      <xdr:rowOff>62008</xdr:rowOff>
    </xdr:from>
    <xdr:ext cx="1251240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D898092-0340-1DEC-094C-4073F2FA1F95}"/>
                </a:ext>
              </a:extLst>
            </xdr:cNvPr>
            <xdr:cNvSpPr txBox="1"/>
          </xdr:nvSpPr>
          <xdr:spPr>
            <a:xfrm>
              <a:off x="13912476" y="4017684"/>
              <a:ext cx="1251240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𝑟𝑒𝑓</m:t>
                        </m:r>
                      </m:sub>
                    </m:sSub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2D898092-0340-1DEC-094C-4073F2FA1F95}"/>
                </a:ext>
              </a:extLst>
            </xdr:cNvPr>
            <xdr:cNvSpPr txBox="1"/>
          </xdr:nvSpPr>
          <xdr:spPr>
            <a:xfrm>
              <a:off x="13912476" y="4017684"/>
              <a:ext cx="1251240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𝐹=𝑞 ̅𝐴_𝑟𝑒𝑓 𝐶_𝐹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12</xdr:col>
      <xdr:colOff>91888</xdr:colOff>
      <xdr:row>81</xdr:row>
      <xdr:rowOff>24652</xdr:rowOff>
    </xdr:from>
    <xdr:ext cx="1027654" cy="4890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11275359" y="14032005"/>
              <a:ext cx="1027654" cy="4890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𝑍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es-MX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275359" y="14032005"/>
              <a:ext cx="1027654" cy="4890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𝑀_𝑍  𝑓𝑜𝑟 𝐹_𝑌</a:t>
              </a:r>
              <a:endParaRPr lang="es-MX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12</xdr:col>
      <xdr:colOff>91888</xdr:colOff>
      <xdr:row>82</xdr:row>
      <xdr:rowOff>91889</xdr:rowOff>
    </xdr:from>
    <xdr:ext cx="1013033" cy="256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11275359" y="14278536"/>
              <a:ext cx="1013033" cy="256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𝑍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275359" y="14278536"/>
              <a:ext cx="1013033" cy="256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𝑀_𝑌  𝑓𝑜𝑟 𝐹_𝑍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15</xdr:col>
      <xdr:colOff>46317</xdr:colOff>
      <xdr:row>24</xdr:row>
      <xdr:rowOff>23908</xdr:rowOff>
    </xdr:from>
    <xdr:ext cx="1549911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D898092-0340-1DEC-094C-4073F2FA1F95}"/>
                </a:ext>
              </a:extLst>
            </xdr:cNvPr>
            <xdr:cNvSpPr txBox="1"/>
          </xdr:nvSpPr>
          <xdr:spPr>
            <a:xfrm>
              <a:off x="13919199" y="4338173"/>
              <a:ext cx="1549911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𝑟𝑒𝑓</m:t>
                        </m:r>
                      </m:sub>
                    </m:sSub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:a14="http://schemas.microsoft.com/office/drawing/2010/main" xmlns="" id="{2D898092-0340-1DEC-094C-4073F2FA1F95}"/>
                </a:ext>
              </a:extLst>
            </xdr:cNvPr>
            <xdr:cNvSpPr txBox="1"/>
          </xdr:nvSpPr>
          <xdr:spPr>
            <a:xfrm>
              <a:off x="13919199" y="4338173"/>
              <a:ext cx="1549911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𝑀=𝑞 ̅𝐴_𝑟𝑒𝑓 𝐿_𝑟 𝐶_𝑀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1587</xdr:rowOff>
    </xdr:from>
    <xdr:to>
      <xdr:col>13</xdr:col>
      <xdr:colOff>533400</xdr:colOff>
      <xdr:row>30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0D527C-4366-00CE-4B25-D1D345FA8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322262</xdr:colOff>
      <xdr:row>3</xdr:row>
      <xdr:rowOff>169862</xdr:rowOff>
    </xdr:from>
    <xdr:ext cx="197252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761C379-9697-216A-9A7E-CFB8449EE35F}"/>
                </a:ext>
              </a:extLst>
            </xdr:cNvPr>
            <xdr:cNvSpPr txBox="1"/>
          </xdr:nvSpPr>
          <xdr:spPr>
            <a:xfrm>
              <a:off x="1227137" y="903287"/>
              <a:ext cx="197252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m:rPr>
                        <m:lit/>
                      </m:rPr>
                      <a:rPr lang="es-MX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𝑛𝑜𝑠𝑒𝑐𝑜𝑛𝑒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𝑝𝑒𝑟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𝑟𝑎𝑑𝑖𝑎𝑛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761C379-9697-216A-9A7E-CFB8449EE35F}"/>
                </a:ext>
              </a:extLst>
            </xdr:cNvPr>
            <xdr:cNvSpPr txBox="1"/>
          </xdr:nvSpPr>
          <xdr:spPr>
            <a:xfrm>
              <a:off x="1227137" y="903287"/>
              <a:ext cx="197252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𝐿_𝑛 \/𝑑 𝐶_𝑁  𝑛𝑜𝑠𝑒𝑐𝑜𝑛𝑒 (𝑝𝑒𝑟 𝑟𝑎𝑑𝑖𝑎𝑛)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322262</xdr:colOff>
      <xdr:row>32</xdr:row>
      <xdr:rowOff>20637</xdr:rowOff>
    </xdr:from>
    <xdr:to>
      <xdr:col>14</xdr:col>
      <xdr:colOff>600075</xdr:colOff>
      <xdr:row>47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9DD64C-8DAF-E3DC-52EF-344D71B51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160337</xdr:colOff>
      <xdr:row>50</xdr:row>
      <xdr:rowOff>96837</xdr:rowOff>
    </xdr:from>
    <xdr:ext cx="2387385" cy="2403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30842E1-FA76-C7DF-5357-28BDD94979CA}"/>
                </a:ext>
              </a:extLst>
            </xdr:cNvPr>
            <xdr:cNvSpPr txBox="1"/>
          </xdr:nvSpPr>
          <xdr:spPr>
            <a:xfrm>
              <a:off x="160337" y="9526587"/>
              <a:ext cx="2387385" cy="240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𝑁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𝛼</m:t>
                      </m:r>
                      <m:r>
                        <a:rPr lang="es-MX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func>
                    <m:func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s-MX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s-MX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MX" sz="1100" b="0" i="1">
                              <a:latin typeface="Cambria Math" panose="02040503050406030204" pitchFamily="18" charset="0"/>
                            </a:rPr>
                            <m:t>𝛼</m:t>
                          </m:r>
                        </m:e>
                      </m:d>
                    </m:e>
                  </m:func>
                  <m:func>
                    <m:func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s-MX" sz="1100" b="0" i="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d>
                        <m:dPr>
                          <m:ctrlPr>
                            <a:rPr lang="es-MX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MX" sz="1100" b="0" i="1">
                              <a:latin typeface="Cambria Math" panose="02040503050406030204" pitchFamily="18" charset="0"/>
                            </a:rPr>
                            <m:t>𝛼</m:t>
                          </m:r>
                        </m:e>
                      </m:d>
                    </m:e>
                  </m:func>
                  <m:r>
                    <a:rPr lang="es-MX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1100" b="0" i="1">
                          <a:latin typeface="Cambria Math" panose="02040503050406030204" pitchFamily="18" charset="0"/>
                        </a:rPr>
                        <m:t>4</m:t>
                      </m:r>
                    </m:num>
                    <m:den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𝜋</m:t>
                      </m:r>
                      <m:r>
                        <a:rPr lang="es-MX" sz="1100" b="0" i="1"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  <m:f>
                    <m:f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𝑑</m:t>
                      </m:r>
                    </m:den>
                  </m:f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MX" sz="1100" b="0" i="0">
                          <a:latin typeface="Cambria Math" panose="02040503050406030204" pitchFamily="18" charset="0"/>
                        </a:rPr>
                        <m:t>C</m:t>
                      </m:r>
                    </m:e>
                    <m:sub>
                      <m:r>
                        <m:rPr>
                          <m:sty m:val="p"/>
                        </m:rPr>
                        <a:rPr lang="es-MX" sz="1100" b="0" i="0">
                          <a:latin typeface="Cambria Math" panose="02040503050406030204" pitchFamily="18" charset="0"/>
                        </a:rPr>
                        <m:t>NC</m:t>
                      </m:r>
                    </m:sub>
                  </m:sSub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MX" sz="1100" b="0" i="0">
                          <a:latin typeface="Cambria Math" panose="02040503050406030204" pitchFamily="18" charset="0"/>
                        </a:rPr>
                        <m:t>C</m:t>
                      </m:r>
                    </m:e>
                    <m:sub>
                      <m:r>
                        <m:rPr>
                          <m:sty m:val="p"/>
                        </m:rPr>
                        <a:rPr lang="es-MX" sz="1100" b="0" i="0">
                          <a:latin typeface="Cambria Math" panose="02040503050406030204" pitchFamily="18" charset="0"/>
                        </a:rPr>
                        <m:t>PL</m:t>
                      </m:r>
                    </m:sub>
                  </m:sSub>
                </m:oMath>
              </a14:m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30842E1-FA76-C7DF-5357-28BDD94979CA}"/>
                </a:ext>
              </a:extLst>
            </xdr:cNvPr>
            <xdr:cNvSpPr txBox="1"/>
          </xdr:nvSpPr>
          <xdr:spPr>
            <a:xfrm>
              <a:off x="160337" y="9526587"/>
              <a:ext cx="2387385" cy="240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𝐶_𝑁=𝐶_𝑁𝛼0  sin⁡(𝛼)  cos⁡(𝛼)+4/(𝜋 )  𝐿/𝑑 C_NC C_PL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227012</xdr:colOff>
      <xdr:row>54</xdr:row>
      <xdr:rowOff>20637</xdr:rowOff>
    </xdr:from>
    <xdr:ext cx="1603772" cy="317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38526A6-FCD4-8548-FF55-6B3C91F39C4B}"/>
                </a:ext>
              </a:extLst>
            </xdr:cNvPr>
            <xdr:cNvSpPr txBox="1"/>
          </xdr:nvSpPr>
          <xdr:spPr>
            <a:xfrm>
              <a:off x="227012" y="10174287"/>
              <a:ext cx="1603772" cy="317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𝑁𝑐𝑟𝑜𝑠𝑠𝑓𝑙𝑜𝑤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NC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PL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38526A6-FCD4-8548-FF55-6B3C91F39C4B}"/>
                </a:ext>
              </a:extLst>
            </xdr:cNvPr>
            <xdr:cNvSpPr txBox="1"/>
          </xdr:nvSpPr>
          <xdr:spPr>
            <a:xfrm>
              <a:off x="227012" y="10174287"/>
              <a:ext cx="1603772" cy="317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𝐶_𝑁𝑐𝑟𝑜𝑠𝑠𝑓𝑙𝑜𝑤=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4/(𝜋 )  𝐿/𝑑 C_NC C_PL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196850</xdr:colOff>
      <xdr:row>52</xdr:row>
      <xdr:rowOff>63500</xdr:rowOff>
    </xdr:from>
    <xdr:ext cx="1981183" cy="182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924C9F-B1DD-4B9D-BFCF-B5695F959620}"/>
                </a:ext>
              </a:extLst>
            </xdr:cNvPr>
            <xdr:cNvSpPr txBox="1"/>
          </xdr:nvSpPr>
          <xdr:spPr>
            <a:xfrm>
              <a:off x="196850" y="9855200"/>
              <a:ext cx="1981183" cy="182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𝑁𝑓𝑜𝑟𝑒𝑏𝑜𝑑𝑦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924C9F-B1DD-4B9D-BFCF-B5695F959620}"/>
                </a:ext>
              </a:extLst>
            </xdr:cNvPr>
            <xdr:cNvSpPr txBox="1"/>
          </xdr:nvSpPr>
          <xdr:spPr>
            <a:xfrm>
              <a:off x="196850" y="9855200"/>
              <a:ext cx="1981183" cy="182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𝐶_𝑁𝑓𝑜𝑟𝑒𝑏𝑜𝑑𝑦=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𝐶_𝑁𝛼0  sin⁡(𝛼)  cos⁡(𝛼)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19048</xdr:colOff>
      <xdr:row>52</xdr:row>
      <xdr:rowOff>7936</xdr:rowOff>
    </xdr:from>
    <xdr:to>
      <xdr:col>10</xdr:col>
      <xdr:colOff>571499</xdr:colOff>
      <xdr:row>66</xdr:row>
      <xdr:rowOff>165099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593C10-B837-4C24-7607-B834AEF6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68</xdr:row>
      <xdr:rowOff>11112</xdr:rowOff>
    </xdr:from>
    <xdr:to>
      <xdr:col>10</xdr:col>
      <xdr:colOff>590550</xdr:colOff>
      <xdr:row>82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15BC-E7A3-C5F1-199F-03D3DC0B7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112712</xdr:colOff>
      <xdr:row>85</xdr:row>
      <xdr:rowOff>106362</xdr:rowOff>
    </xdr:from>
    <xdr:ext cx="1719252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CDE8A02-B0ED-012D-019B-E87D218D6924}"/>
                </a:ext>
              </a:extLst>
            </xdr:cNvPr>
            <xdr:cNvSpPr txBox="1"/>
          </xdr:nvSpPr>
          <xdr:spPr>
            <a:xfrm>
              <a:off x="112712" y="15870237"/>
              <a:ext cx="1719252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𝑃𝐿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𝑃𝑓</m:t>
                        </m:r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𝑝𝑎</m:t>
                        </m:r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CDE8A02-B0ED-012D-019B-E87D218D6924}"/>
                </a:ext>
              </a:extLst>
            </xdr:cNvPr>
            <xdr:cNvSpPr txBox="1"/>
          </xdr:nvSpPr>
          <xdr:spPr>
            <a:xfrm>
              <a:off x="112712" y="15870237"/>
              <a:ext cx="1719252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𝐶_𝑃𝐿=𝐶_𝑃𝑓  𝐿_𝑁/𝐿+𝐿_𝑚/𝐿+𝐶_𝑝𝑎  𝐿_𝑇/𝐿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93662</xdr:colOff>
      <xdr:row>92</xdr:row>
      <xdr:rowOff>77787</xdr:rowOff>
    </xdr:from>
    <xdr:ext cx="2769733" cy="632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E797A0D-38FE-68C2-1937-5CEA76EEAF0D}"/>
                </a:ext>
              </a:extLst>
            </xdr:cNvPr>
            <xdr:cNvSpPr txBox="1"/>
          </xdr:nvSpPr>
          <xdr:spPr>
            <a:xfrm>
              <a:off x="93662" y="17108487"/>
              <a:ext cx="2769733" cy="6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𝑃𝑓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+1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+1</m:t>
                                    </m:r>
                                  </m:e>
                                </m:rad>
                              </m:den>
                            </m:f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ad>
                                      <m:radPr>
                                        <m:degHide m:val="on"/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+1</m:t>
                                        </m:r>
                                      </m:e>
                                    </m:rad>
                                  </m:num>
                                  <m:den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+1</m:t>
                                    </m:r>
                                  </m:den>
                                </m:f>
                              </m:e>
                            </m:d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E797A0D-38FE-68C2-1937-5CEA76EEAF0D}"/>
                </a:ext>
              </a:extLst>
            </xdr:cNvPr>
            <xdr:cNvSpPr txBox="1"/>
          </xdr:nvSpPr>
          <xdr:spPr>
            <a:xfrm>
              <a:off x="93662" y="17108487"/>
              <a:ext cx="2769733" cy="6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𝐶_𝑃𝑓=1/2 (((𝐹+1)^2/√(2𝐹+1) 𝑠𝑖𝑛^(−1) (√(2𝐹+1)/(𝐹+1)))−𝐹)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179387</xdr:colOff>
      <xdr:row>95</xdr:row>
      <xdr:rowOff>153987</xdr:rowOff>
    </xdr:from>
    <xdr:ext cx="1311641" cy="442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623A625-4973-241C-C2D8-E55AF8EEB25E}"/>
                </a:ext>
              </a:extLst>
            </xdr:cNvPr>
            <xdr:cNvSpPr txBox="1"/>
          </xdr:nvSpPr>
          <xdr:spPr>
            <a:xfrm>
              <a:off x="179387" y="17727612"/>
              <a:ext cx="1311641" cy="44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623A625-4973-241C-C2D8-E55AF8EEB25E}"/>
                </a:ext>
              </a:extLst>
            </xdr:cNvPr>
            <xdr:cNvSpPr txBox="1"/>
          </xdr:nvSpPr>
          <xdr:spPr>
            <a:xfrm>
              <a:off x="179387" y="17727612"/>
              <a:ext cx="1311641" cy="44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𝐹=1/2 (4(𝐿_𝑁/𝑑)^2−1)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580358</xdr:colOff>
      <xdr:row>1</xdr:row>
      <xdr:rowOff>28574</xdr:rowOff>
    </xdr:from>
    <xdr:to>
      <xdr:col>8</xdr:col>
      <xdr:colOff>267636</xdr:colOff>
      <xdr:row>12</xdr:row>
      <xdr:rowOff>64411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C2806-C192-4C8E-400B-77250FF88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62733" y="209549"/>
          <a:ext cx="2125678" cy="2064662"/>
        </a:xfrm>
        <a:prstGeom prst="rect">
          <a:avLst/>
        </a:prstGeom>
      </xdr:spPr>
    </xdr:pic>
    <xdr:clientData/>
  </xdr:twoCellAnchor>
  <xdr:twoCellAnchor editAs="oneCell">
    <xdr:from>
      <xdr:col>4</xdr:col>
      <xdr:colOff>104039</xdr:colOff>
      <xdr:row>13</xdr:row>
      <xdr:rowOff>6350</xdr:rowOff>
    </xdr:from>
    <xdr:to>
      <xdr:col>9</xdr:col>
      <xdr:colOff>7103</xdr:colOff>
      <xdr:row>22</xdr:row>
      <xdr:rowOff>29003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49E023-F1F9-85DB-71B0-14903EA1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6414" y="2406650"/>
          <a:ext cx="2951064" cy="1680003"/>
        </a:xfrm>
        <a:prstGeom prst="rect">
          <a:avLst/>
        </a:prstGeom>
      </xdr:spPr>
    </xdr:pic>
    <xdr:clientData/>
  </xdr:twoCellAnchor>
  <xdr:twoCellAnchor editAs="oneCell">
    <xdr:from>
      <xdr:col>3</xdr:col>
      <xdr:colOff>647674</xdr:colOff>
      <xdr:row>23</xdr:row>
      <xdr:rowOff>9525</xdr:rowOff>
    </xdr:from>
    <xdr:to>
      <xdr:col>9</xdr:col>
      <xdr:colOff>140690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466A9B-9FE0-4282-E083-96028C27B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1999" y="4248150"/>
          <a:ext cx="5989066" cy="429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6:G81" totalsRowShown="0" headerRowDxfId="8" dataDxfId="7">
  <autoFilter ref="B76:G81" xr:uid="{00000000-0009-0000-0100-000001000000}"/>
  <tableColumns count="6">
    <tableColumn id="1" xr3:uid="{00000000-0010-0000-0000-000001000000}" name="Fin type" dataDxfId="6"/>
    <tableColumn id="2" xr3:uid="{00000000-0010-0000-0000-000002000000}" name="Sweeped" dataDxfId="5">
      <calculatedColumnFormula>I64</calculatedColumnFormula>
    </tableColumn>
    <tableColumn id="3" xr3:uid="{00000000-0010-0000-0000-000003000000}" name="Tapered 1/4" dataDxfId="4">
      <calculatedColumnFormula>K64</calculatedColumnFormula>
    </tableColumn>
    <tableColumn id="4" xr3:uid="{00000000-0010-0000-0000-000004000000}" name="Tapered sweeped" dataDxfId="3"/>
    <tableColumn id="5" xr3:uid="{00000000-0010-0000-0000-000005000000}" name="Column4" dataDxfId="2"/>
    <tableColumn id="6" xr3:uid="{00000000-0010-0000-0000-000006000000}" name="Column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openxmlformats.org/officeDocument/2006/relationships/vmlDrawing" Target="../drawings/vmlDrawing2.vml"/><Relationship Id="rId2" Type="http://schemas.openxmlformats.org/officeDocument/2006/relationships/hyperlink" Target="https://innovationspace.ansys.com/product/aerodynamics-of-a-rocket-using-ansys-fluent/" TargetMode="External"/><Relationship Id="rId1" Type="http://schemas.openxmlformats.org/officeDocument/2006/relationships/hyperlink" Target="https://ansyshelp.ansys.com/public/account/secured?returnurl=/Views/Secured/corp/v242/en/flu_tg/flu_tg_oneram6_wing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youtube.com/watch?v=-05AlwGI7Jo" TargetMode="External"/><Relationship Id="rId1" Type="http://schemas.openxmlformats.org/officeDocument/2006/relationships/hyperlink" Target="https://www.youtube.com/watch?v=-05AlwGI7Jo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2:L268"/>
  <sheetViews>
    <sheetView view="pageLayout" topLeftCell="A54" zoomScale="80" zoomScaleNormal="100" zoomScalePageLayoutView="80" workbookViewId="0">
      <selection activeCell="J215" sqref="J215"/>
    </sheetView>
  </sheetViews>
  <sheetFormatPr defaultColWidth="8.90625" defaultRowHeight="12.5"/>
  <cols>
    <col min="1" max="1" width="12.7265625" style="114" customWidth="1"/>
    <col min="2" max="9" width="7.26953125" style="114" customWidth="1"/>
    <col min="10" max="16384" width="8.90625" style="114"/>
  </cols>
  <sheetData>
    <row r="52" spans="1:1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</row>
    <row r="53" spans="1:12" ht="13.5" thickBot="1">
      <c r="A53" s="113"/>
      <c r="B53" s="115" t="s">
        <v>0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3"/>
    </row>
    <row r="54" spans="1:12" ht="13">
      <c r="A54" s="113"/>
      <c r="B54" s="116"/>
      <c r="C54" s="113"/>
      <c r="D54" s="113"/>
      <c r="E54" s="113"/>
      <c r="F54" s="113"/>
      <c r="G54" s="113"/>
      <c r="H54" s="113"/>
      <c r="I54" s="113"/>
      <c r="J54" s="113"/>
      <c r="K54" s="113"/>
      <c r="L54" s="113"/>
    </row>
    <row r="55" spans="1:12" ht="13" thickBot="1">
      <c r="A55" s="113"/>
      <c r="B55" s="117" t="s">
        <v>1</v>
      </c>
      <c r="C55" s="113"/>
      <c r="D55" s="113"/>
      <c r="E55" s="113"/>
      <c r="F55" s="113"/>
      <c r="G55" s="113"/>
      <c r="H55" s="113"/>
      <c r="I55" s="113"/>
      <c r="J55" s="113"/>
      <c r="K55" s="113"/>
      <c r="L55" s="113"/>
    </row>
    <row r="56" spans="1:12">
      <c r="A56" s="113"/>
      <c r="B56" s="113" t="s">
        <v>2</v>
      </c>
      <c r="C56" s="113"/>
      <c r="D56" s="113"/>
      <c r="E56" s="113"/>
      <c r="F56" s="113"/>
      <c r="G56" s="113"/>
      <c r="H56" s="113"/>
      <c r="I56" s="113"/>
      <c r="J56" s="113"/>
      <c r="K56" s="113"/>
      <c r="L56" s="113"/>
    </row>
    <row r="57" spans="1:12">
      <c r="A57" s="113"/>
      <c r="B57" s="113" t="s">
        <v>3</v>
      </c>
      <c r="C57" s="113"/>
      <c r="D57" s="113"/>
      <c r="E57" s="113"/>
      <c r="F57" s="113"/>
      <c r="G57" s="113"/>
      <c r="H57" s="113"/>
      <c r="I57" s="113"/>
      <c r="J57" s="113"/>
      <c r="K57" s="113"/>
      <c r="L57" s="113"/>
    </row>
    <row r="58" spans="1:12">
      <c r="A58" s="113"/>
      <c r="B58" s="113" t="s">
        <v>4</v>
      </c>
      <c r="C58" s="113"/>
      <c r="D58" s="113"/>
      <c r="E58" s="113"/>
      <c r="F58" s="113"/>
      <c r="G58" s="113"/>
      <c r="H58" s="113"/>
      <c r="I58" s="113"/>
      <c r="J58" s="113"/>
      <c r="K58" s="113"/>
      <c r="L58" s="113"/>
    </row>
    <row r="59" spans="1:12">
      <c r="A59" s="113"/>
      <c r="B59" s="113" t="s">
        <v>5</v>
      </c>
      <c r="C59" s="113"/>
      <c r="D59" s="113"/>
      <c r="E59" s="113"/>
      <c r="F59" s="113"/>
      <c r="G59" s="113"/>
      <c r="H59" s="113"/>
      <c r="I59" s="113"/>
      <c r="J59" s="113"/>
      <c r="K59" s="113"/>
      <c r="L59" s="113"/>
    </row>
    <row r="60" spans="1:12">
      <c r="A60" s="113"/>
      <c r="B60" s="113" t="s">
        <v>6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</row>
    <row r="61" spans="1:12">
      <c r="A61" s="113"/>
      <c r="B61" s="113" t="s">
        <v>7</v>
      </c>
      <c r="C61" s="113"/>
      <c r="D61" s="113"/>
      <c r="E61" s="113"/>
      <c r="F61" s="113"/>
      <c r="G61" s="113"/>
      <c r="H61" s="113"/>
      <c r="I61" s="113"/>
      <c r="J61" s="113"/>
      <c r="K61" s="113"/>
      <c r="L61" s="113"/>
    </row>
    <row r="62" spans="1:12" ht="13">
      <c r="A62" s="113"/>
      <c r="B62" s="113" t="s">
        <v>8</v>
      </c>
      <c r="C62" s="113"/>
      <c r="D62" s="113"/>
      <c r="E62" s="113"/>
      <c r="F62" s="113"/>
      <c r="G62" s="113"/>
      <c r="H62" s="113"/>
      <c r="I62" s="116"/>
      <c r="J62" s="113"/>
      <c r="K62" s="113"/>
      <c r="L62" s="113"/>
    </row>
    <row r="63" spans="1:12">
      <c r="A63" s="113"/>
      <c r="B63" s="113" t="s">
        <v>9</v>
      </c>
      <c r="C63" s="113"/>
      <c r="D63" s="113"/>
      <c r="E63" s="113"/>
      <c r="F63" s="113"/>
      <c r="G63" s="113"/>
      <c r="H63" s="113"/>
      <c r="I63" s="113"/>
      <c r="J63" s="113"/>
      <c r="K63" s="113"/>
      <c r="L63" s="113"/>
    </row>
    <row r="64" spans="1:12">
      <c r="A64" s="113"/>
      <c r="B64" s="113" t="s">
        <v>10</v>
      </c>
      <c r="C64" s="113"/>
      <c r="D64" s="113"/>
      <c r="E64" s="113"/>
      <c r="F64" s="113"/>
      <c r="G64" s="113"/>
      <c r="H64" s="113"/>
      <c r="I64" s="113"/>
      <c r="J64" s="113"/>
      <c r="K64" s="113"/>
      <c r="L64" s="113"/>
    </row>
    <row r="65" spans="1:12">
      <c r="A65" s="113"/>
      <c r="B65" s="113" t="s">
        <v>11</v>
      </c>
      <c r="C65" s="113"/>
      <c r="D65" s="113"/>
      <c r="E65" s="113"/>
      <c r="F65" s="113"/>
      <c r="G65" s="113"/>
      <c r="H65" s="113"/>
      <c r="I65" s="113"/>
      <c r="J65" s="113"/>
      <c r="K65" s="113"/>
      <c r="L65" s="113"/>
    </row>
    <row r="66" spans="1:12">
      <c r="A66" s="113"/>
      <c r="B66" s="113" t="s">
        <v>12</v>
      </c>
      <c r="C66" s="113"/>
      <c r="D66" s="113"/>
      <c r="E66" s="113"/>
      <c r="F66" s="113"/>
      <c r="G66" s="113"/>
      <c r="H66" s="113"/>
      <c r="I66" s="113"/>
      <c r="J66" s="113"/>
      <c r="K66" s="113"/>
      <c r="L66" s="113"/>
    </row>
    <row r="67" spans="1:12">
      <c r="A67" s="113"/>
      <c r="B67" s="113" t="s">
        <v>13</v>
      </c>
      <c r="C67" s="113"/>
      <c r="D67" s="113"/>
      <c r="E67" s="113"/>
      <c r="F67" s="113"/>
      <c r="G67" s="113"/>
      <c r="H67" s="113"/>
      <c r="I67" s="113"/>
      <c r="J67" s="113"/>
      <c r="K67" s="113"/>
      <c r="L67" s="113"/>
    </row>
    <row r="68" spans="1:12">
      <c r="A68" s="113"/>
      <c r="B68" s="113" t="s">
        <v>14</v>
      </c>
      <c r="C68" s="113"/>
      <c r="D68" s="113"/>
      <c r="E68" s="113"/>
      <c r="F68" s="113"/>
      <c r="G68" s="113"/>
      <c r="H68" s="113"/>
      <c r="I68" s="113"/>
      <c r="J68" s="113"/>
      <c r="K68" s="113"/>
      <c r="L68" s="113"/>
    </row>
    <row r="69" spans="1:12">
      <c r="A69" s="113"/>
      <c r="B69" s="113" t="s">
        <v>15</v>
      </c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2">
      <c r="A70" s="113"/>
      <c r="B70" s="113" t="s">
        <v>16</v>
      </c>
      <c r="C70" s="113"/>
      <c r="D70" s="113"/>
      <c r="E70" s="113"/>
      <c r="F70" s="113"/>
      <c r="G70" s="113"/>
      <c r="H70" s="113"/>
      <c r="I70" s="113"/>
      <c r="J70" s="113"/>
      <c r="K70" s="113"/>
      <c r="L70" s="113"/>
    </row>
    <row r="71" spans="1:12">
      <c r="A71" s="113"/>
      <c r="B71" s="113" t="s">
        <v>17</v>
      </c>
      <c r="C71" s="113"/>
      <c r="D71" s="113"/>
      <c r="E71" s="113"/>
      <c r="F71" s="113"/>
      <c r="G71" s="113"/>
      <c r="H71" s="113"/>
      <c r="I71" s="113"/>
      <c r="J71" s="113"/>
      <c r="K71" s="113"/>
      <c r="L71" s="113"/>
    </row>
    <row r="72" spans="1:12">
      <c r="A72" s="113"/>
      <c r="B72" s="113" t="s">
        <v>18</v>
      </c>
      <c r="C72" s="113"/>
      <c r="D72" s="113"/>
      <c r="E72" s="113"/>
      <c r="F72" s="113"/>
      <c r="G72" s="113"/>
      <c r="H72" s="113"/>
      <c r="I72" s="113"/>
      <c r="J72" s="113"/>
      <c r="K72" s="113"/>
      <c r="L72" s="113"/>
    </row>
    <row r="73" spans="1:12">
      <c r="A73" s="113"/>
      <c r="B73" s="113" t="s">
        <v>19</v>
      </c>
      <c r="C73" s="113"/>
      <c r="D73" s="113"/>
      <c r="E73" s="113"/>
      <c r="F73" s="113"/>
      <c r="G73" s="113"/>
      <c r="H73" s="113"/>
      <c r="I73" s="113"/>
      <c r="J73" s="113"/>
      <c r="K73" s="113"/>
      <c r="L73" s="113"/>
    </row>
    <row r="74" spans="1:12">
      <c r="A74" s="113"/>
      <c r="B74" s="113" t="s">
        <v>20</v>
      </c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>
      <c r="A75" s="113"/>
      <c r="B75" s="113" t="s">
        <v>21</v>
      </c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>
      <c r="A76" s="113"/>
      <c r="B76" s="113" t="s">
        <v>22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</row>
    <row r="77" spans="1:12">
      <c r="A77" s="113"/>
      <c r="B77" s="113" t="s">
        <v>23</v>
      </c>
      <c r="C77" s="113"/>
      <c r="D77" s="113"/>
      <c r="E77" s="113"/>
      <c r="F77" s="113"/>
      <c r="G77" s="113"/>
      <c r="H77" s="113"/>
      <c r="I77" s="113"/>
      <c r="J77" s="113"/>
      <c r="K77" s="113"/>
      <c r="L77" s="113"/>
    </row>
    <row r="78" spans="1:12">
      <c r="A78" s="113"/>
      <c r="B78" s="113" t="s">
        <v>24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</row>
    <row r="79" spans="1:12">
      <c r="A79" s="113"/>
      <c r="B79" s="113" t="s">
        <v>25</v>
      </c>
      <c r="C79" s="113"/>
      <c r="D79" s="113"/>
      <c r="E79" s="113"/>
      <c r="F79" s="113"/>
      <c r="G79" s="113"/>
      <c r="H79" s="113"/>
      <c r="I79" s="113"/>
      <c r="J79" s="113"/>
      <c r="K79" s="113"/>
      <c r="L79" s="113"/>
    </row>
    <row r="80" spans="1:12">
      <c r="A80" s="113"/>
      <c r="B80" s="113" t="s">
        <v>26</v>
      </c>
      <c r="C80" s="113"/>
      <c r="D80" s="113"/>
      <c r="E80" s="113"/>
      <c r="F80" s="113"/>
      <c r="G80" s="113"/>
      <c r="H80" s="113"/>
      <c r="I80" s="113"/>
      <c r="J80" s="113"/>
      <c r="K80" s="113"/>
      <c r="L80" s="113"/>
    </row>
    <row r="81" spans="1:12">
      <c r="A81" s="113"/>
      <c r="B81" s="113" t="s">
        <v>27</v>
      </c>
      <c r="C81" s="113"/>
      <c r="D81" s="113"/>
      <c r="E81" s="113"/>
      <c r="F81" s="113"/>
      <c r="G81" s="113"/>
      <c r="H81" s="113"/>
      <c r="I81" s="113"/>
      <c r="J81" s="113"/>
      <c r="K81" s="113"/>
      <c r="L81" s="113"/>
    </row>
    <row r="82" spans="1:12">
      <c r="A82" s="113"/>
      <c r="B82" s="113" t="s">
        <v>28</v>
      </c>
      <c r="C82" s="113"/>
      <c r="D82" s="113"/>
      <c r="E82" s="113"/>
      <c r="F82" s="113"/>
      <c r="G82" s="113"/>
      <c r="H82" s="113"/>
      <c r="I82" s="113"/>
      <c r="J82" s="113"/>
      <c r="K82" s="113"/>
      <c r="L82" s="113"/>
    </row>
    <row r="83" spans="1:12">
      <c r="A83" s="113"/>
      <c r="B83" s="113" t="s">
        <v>29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</row>
    <row r="84" spans="1:12">
      <c r="A84" s="113"/>
      <c r="B84" s="113" t="s">
        <v>30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</row>
    <row r="85" spans="1:12">
      <c r="A85" s="113"/>
      <c r="B85" s="113" t="s">
        <v>31</v>
      </c>
      <c r="C85" s="113"/>
      <c r="D85" s="113"/>
      <c r="E85" s="113"/>
      <c r="F85" s="113"/>
      <c r="G85" s="113"/>
      <c r="H85" s="113"/>
      <c r="I85" s="113"/>
      <c r="J85" s="113"/>
      <c r="K85" s="113"/>
      <c r="L85" s="113"/>
    </row>
    <row r="86" spans="1:12">
      <c r="A86" s="113"/>
      <c r="B86" s="113" t="s">
        <v>32</v>
      </c>
      <c r="C86" s="113"/>
      <c r="D86" s="113"/>
      <c r="E86" s="113"/>
      <c r="F86" s="113"/>
      <c r="G86" s="113"/>
      <c r="H86" s="113"/>
      <c r="I86" s="113"/>
      <c r="J86" s="113"/>
      <c r="K86" s="113"/>
      <c r="L86" s="113"/>
    </row>
    <row r="87" spans="1:12">
      <c r="A87" s="113"/>
      <c r="B87" s="113" t="s">
        <v>33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</row>
    <row r="88" spans="1:12">
      <c r="A88" s="113"/>
      <c r="B88" s="113" t="s">
        <v>34</v>
      </c>
      <c r="C88" s="113"/>
      <c r="D88" s="113"/>
      <c r="E88" s="113"/>
      <c r="F88" s="113"/>
      <c r="G88" s="113"/>
      <c r="H88" s="113"/>
      <c r="I88" s="113"/>
      <c r="J88" s="113"/>
      <c r="K88" s="113"/>
      <c r="L88" s="113"/>
    </row>
    <row r="89" spans="1:12">
      <c r="A89" s="113"/>
      <c r="B89" s="113" t="s">
        <v>35</v>
      </c>
      <c r="C89" s="113"/>
      <c r="D89" s="113"/>
      <c r="E89" s="113"/>
      <c r="F89" s="113"/>
      <c r="G89" s="113"/>
      <c r="H89" s="113"/>
      <c r="I89" s="113"/>
      <c r="J89" s="113"/>
      <c r="K89" s="113"/>
      <c r="L89" s="113"/>
    </row>
    <row r="90" spans="1:12">
      <c r="A90" s="113"/>
      <c r="B90" s="113" t="s">
        <v>36</v>
      </c>
      <c r="C90" s="113"/>
      <c r="D90" s="113"/>
      <c r="E90" s="113"/>
      <c r="F90" s="113"/>
      <c r="G90" s="113"/>
      <c r="H90" s="113"/>
      <c r="I90" s="113"/>
      <c r="J90" s="113"/>
      <c r="K90" s="113"/>
      <c r="L90" s="113"/>
    </row>
    <row r="91" spans="1:12">
      <c r="A91" s="113"/>
      <c r="B91" s="113" t="s">
        <v>37</v>
      </c>
      <c r="C91" s="113"/>
      <c r="D91" s="113"/>
      <c r="E91" s="113"/>
      <c r="F91" s="113"/>
      <c r="G91" s="113"/>
      <c r="H91" s="113"/>
      <c r="I91" s="113"/>
      <c r="J91" s="113"/>
      <c r="K91" s="113"/>
      <c r="L91" s="113"/>
    </row>
    <row r="92" spans="1:12">
      <c r="A92" s="113"/>
      <c r="B92" s="113" t="s">
        <v>38</v>
      </c>
      <c r="C92" s="113"/>
      <c r="D92" s="113"/>
      <c r="E92" s="113"/>
      <c r="F92" s="113"/>
      <c r="G92" s="113"/>
      <c r="H92" s="113"/>
      <c r="I92" s="113"/>
      <c r="J92" s="113"/>
      <c r="K92" s="113"/>
      <c r="L92" s="113"/>
    </row>
    <row r="93" spans="1:12">
      <c r="A93" s="113"/>
      <c r="B93" s="113" t="s">
        <v>39</v>
      </c>
      <c r="C93" s="113"/>
      <c r="D93" s="113"/>
      <c r="E93" s="113"/>
      <c r="F93" s="113"/>
      <c r="G93" s="113"/>
      <c r="H93" s="113"/>
      <c r="I93" s="113"/>
      <c r="J93" s="113"/>
      <c r="K93" s="113"/>
      <c r="L93" s="113"/>
    </row>
    <row r="94" spans="1:12">
      <c r="A94" s="113"/>
      <c r="B94" s="113" t="s">
        <v>40</v>
      </c>
      <c r="C94" s="113"/>
      <c r="D94" s="113"/>
      <c r="E94" s="113"/>
      <c r="F94" s="113"/>
      <c r="G94" s="113"/>
      <c r="H94" s="113"/>
      <c r="I94" s="113"/>
      <c r="J94" s="113"/>
      <c r="K94" s="113"/>
      <c r="L94" s="113"/>
    </row>
    <row r="95" spans="1:12">
      <c r="A95" s="113"/>
      <c r="B95" s="113" t="s">
        <v>41</v>
      </c>
      <c r="C95" s="113"/>
      <c r="D95" s="113"/>
      <c r="E95" s="113"/>
      <c r="F95" s="113"/>
      <c r="G95" s="113"/>
      <c r="H95" s="113"/>
      <c r="I95" s="113"/>
      <c r="J95" s="113"/>
      <c r="K95" s="113"/>
      <c r="L95" s="113"/>
    </row>
    <row r="96" spans="1:12">
      <c r="A96" s="113"/>
      <c r="B96" s="113" t="s">
        <v>42</v>
      </c>
      <c r="C96" s="113"/>
      <c r="D96" s="113"/>
      <c r="E96" s="113"/>
      <c r="F96" s="113"/>
      <c r="G96" s="113"/>
      <c r="H96" s="113"/>
      <c r="I96" s="113"/>
      <c r="J96" s="113"/>
      <c r="K96" s="113"/>
      <c r="L96" s="113"/>
    </row>
    <row r="97" spans="1:12">
      <c r="A97" s="113"/>
      <c r="B97" s="113" t="s">
        <v>43</v>
      </c>
      <c r="C97" s="113"/>
      <c r="D97" s="113"/>
      <c r="E97" s="113"/>
      <c r="F97" s="113"/>
      <c r="G97" s="113"/>
      <c r="H97" s="113"/>
      <c r="I97" s="113"/>
      <c r="J97" s="113"/>
      <c r="K97" s="113"/>
      <c r="L97" s="113"/>
    </row>
    <row r="98" spans="1:12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</row>
    <row r="99" spans="1:12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</row>
    <row r="100" spans="1:12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</row>
    <row r="101" spans="1:1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</row>
    <row r="102" spans="1:1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</row>
    <row r="103" spans="1:12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</row>
    <row r="104" spans="1:12" ht="13" thickBot="1"/>
    <row r="105" spans="1:12" ht="13" thickBot="1">
      <c r="A105" s="118" t="s">
        <v>44</v>
      </c>
      <c r="B105" s="119" t="s">
        <v>45</v>
      </c>
      <c r="C105" s="120"/>
      <c r="D105" s="120"/>
      <c r="E105" s="120"/>
      <c r="F105" s="121" t="s">
        <v>46</v>
      </c>
      <c r="G105" s="100" t="s">
        <v>47</v>
      </c>
      <c r="H105" s="100"/>
      <c r="I105" s="118" t="s">
        <v>48</v>
      </c>
      <c r="J105" s="119">
        <v>1</v>
      </c>
      <c r="K105" s="122" t="s">
        <v>49</v>
      </c>
      <c r="L105" s="123">
        <v>2</v>
      </c>
    </row>
    <row r="106" spans="1:12" ht="13" thickBot="1">
      <c r="A106" s="118" t="s">
        <v>50</v>
      </c>
      <c r="B106" s="119" t="s">
        <v>51</v>
      </c>
      <c r="C106" s="120"/>
      <c r="D106" s="120"/>
      <c r="E106" s="123"/>
      <c r="F106" s="118" t="s">
        <v>52</v>
      </c>
      <c r="G106" s="119"/>
      <c r="H106" s="120"/>
      <c r="I106" s="120"/>
      <c r="J106" s="117"/>
      <c r="K106" s="117"/>
      <c r="L106" s="124"/>
    </row>
    <row r="107" spans="1:12" ht="13" thickBot="1">
      <c r="A107" s="118" t="s">
        <v>53</v>
      </c>
      <c r="B107" s="125" t="s">
        <v>54</v>
      </c>
      <c r="C107" s="120"/>
      <c r="D107" s="120"/>
      <c r="E107" s="123"/>
      <c r="F107" s="118" t="s">
        <v>55</v>
      </c>
      <c r="G107" s="119"/>
      <c r="H107" s="120"/>
      <c r="I107" s="120"/>
      <c r="J107" s="120"/>
      <c r="K107" s="120"/>
      <c r="L107" s="123"/>
    </row>
    <row r="108" spans="1:12">
      <c r="A108" s="307" t="s">
        <v>56</v>
      </c>
      <c r="B108" s="126" t="s">
        <v>57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27"/>
    </row>
    <row r="109" spans="1:12">
      <c r="A109" s="307"/>
      <c r="B109" s="128"/>
      <c r="C109" s="113"/>
      <c r="D109" s="113"/>
      <c r="E109" s="113"/>
      <c r="F109" s="113"/>
      <c r="G109" s="113"/>
      <c r="H109" s="113"/>
      <c r="I109" s="113"/>
      <c r="J109" s="113"/>
      <c r="K109" s="113"/>
      <c r="L109" s="129"/>
    </row>
    <row r="110" spans="1:12" ht="13" thickBot="1">
      <c r="A110" s="307"/>
      <c r="B110" s="130"/>
      <c r="C110" s="117"/>
      <c r="D110" s="117"/>
      <c r="E110" s="117"/>
      <c r="F110" s="117"/>
      <c r="G110" s="117"/>
      <c r="H110" s="117"/>
      <c r="I110" s="117"/>
      <c r="J110" s="117"/>
      <c r="K110" s="117"/>
      <c r="L110" s="124"/>
    </row>
    <row r="111" spans="1:1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</row>
    <row r="112" spans="1:12" ht="13">
      <c r="A112" s="116" t="s">
        <v>58</v>
      </c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</row>
    <row r="113" spans="1:12" ht="13">
      <c r="A113" s="116" t="s">
        <v>59</v>
      </c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</row>
    <row r="114" spans="1:12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</row>
    <row r="115" spans="1:12" ht="13">
      <c r="A115" s="113" t="s">
        <v>60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</row>
    <row r="116" spans="1:12">
      <c r="A116" s="113" t="s">
        <v>61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</row>
    <row r="117" spans="1:1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</row>
    <row r="118" spans="1:12" ht="14.5">
      <c r="A118" s="113"/>
      <c r="B118" s="113"/>
      <c r="C118" s="113"/>
      <c r="D118" s="113"/>
      <c r="E118" s="113"/>
      <c r="F118" s="131" t="s">
        <v>62</v>
      </c>
      <c r="G118" s="113"/>
      <c r="H118" s="113"/>
      <c r="I118" s="113"/>
      <c r="J118" s="113"/>
      <c r="K118" s="113"/>
      <c r="L118" s="113"/>
    </row>
    <row r="119" spans="1:12">
      <c r="A119" s="113"/>
      <c r="B119" s="113"/>
      <c r="C119" s="113"/>
      <c r="D119" s="113"/>
      <c r="E119" s="113"/>
      <c r="F119" s="113" t="s">
        <v>63</v>
      </c>
      <c r="G119" s="113"/>
      <c r="H119" s="113"/>
      <c r="I119" s="113"/>
      <c r="J119" s="113"/>
      <c r="K119" s="113"/>
      <c r="L119" s="113"/>
    </row>
    <row r="120" spans="1:12" ht="13">
      <c r="A120" s="113"/>
      <c r="B120" s="113"/>
      <c r="C120" s="113"/>
      <c r="D120" s="113"/>
      <c r="E120" s="113"/>
      <c r="F120" s="113" t="s">
        <v>64</v>
      </c>
      <c r="G120" s="113"/>
      <c r="H120" s="113"/>
      <c r="I120" s="113"/>
      <c r="J120" s="113"/>
      <c r="K120" s="113"/>
      <c r="L120" s="113"/>
    </row>
    <row r="121" spans="1:12">
      <c r="A121" s="113"/>
      <c r="B121" s="113"/>
      <c r="C121" s="113"/>
      <c r="D121" s="113"/>
      <c r="E121" s="113"/>
      <c r="F121" s="113" t="s">
        <v>65</v>
      </c>
      <c r="G121" s="113"/>
      <c r="H121" s="113"/>
      <c r="I121" s="113"/>
      <c r="J121" s="113"/>
      <c r="K121" s="113"/>
      <c r="L121" s="113"/>
    </row>
    <row r="122" spans="1:12">
      <c r="A122" s="113"/>
      <c r="B122" s="113"/>
      <c r="C122" s="113"/>
      <c r="D122" s="113"/>
      <c r="E122" s="113"/>
      <c r="F122" s="113" t="s">
        <v>66</v>
      </c>
      <c r="G122" s="113"/>
      <c r="H122" s="113"/>
      <c r="I122" s="113"/>
      <c r="J122" s="113"/>
      <c r="K122" s="113"/>
      <c r="L122" s="113"/>
    </row>
    <row r="123" spans="1:12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</row>
    <row r="124" spans="1:12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</row>
    <row r="125" spans="1:12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</row>
    <row r="126" spans="1:12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</row>
    <row r="127" spans="1:12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</row>
    <row r="128" spans="1:12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</row>
    <row r="129" spans="1:12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</row>
    <row r="130" spans="1:12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</row>
    <row r="131" spans="1:12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</row>
    <row r="132" spans="1:1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</row>
    <row r="133" spans="1:12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</row>
    <row r="134" spans="1:12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</row>
    <row r="135" spans="1:12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</row>
    <row r="136" spans="1:12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</row>
    <row r="137" spans="1:12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</row>
    <row r="138" spans="1:12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</row>
    <row r="139" spans="1:12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</row>
    <row r="140" spans="1:12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</row>
    <row r="141" spans="1:12">
      <c r="A141" s="113"/>
      <c r="B141" s="113"/>
      <c r="C141" s="113"/>
      <c r="D141" s="113"/>
      <c r="E141" s="113"/>
      <c r="F141" s="113" t="s">
        <v>67</v>
      </c>
      <c r="G141" s="113"/>
      <c r="H141" s="113"/>
      <c r="I141" s="113"/>
      <c r="J141" s="113"/>
      <c r="K141" s="113"/>
      <c r="L141" s="113"/>
    </row>
    <row r="142" spans="1:12">
      <c r="A142" s="113"/>
      <c r="B142" s="113"/>
      <c r="C142" s="113"/>
      <c r="D142" s="113"/>
      <c r="E142" s="113"/>
      <c r="F142" s="113" t="s">
        <v>68</v>
      </c>
      <c r="G142" s="113"/>
      <c r="H142" s="113"/>
      <c r="I142" s="113"/>
      <c r="J142" s="113"/>
      <c r="K142" s="113"/>
      <c r="L142" s="113"/>
    </row>
    <row r="143" spans="1:12">
      <c r="A143" s="113"/>
      <c r="B143" s="113"/>
      <c r="C143" s="113"/>
      <c r="D143" s="113"/>
      <c r="E143" s="113"/>
      <c r="F143" s="113" t="s">
        <v>69</v>
      </c>
      <c r="G143" s="113"/>
      <c r="H143" s="113"/>
      <c r="I143" s="113"/>
      <c r="J143" s="113"/>
      <c r="K143" s="113"/>
      <c r="L143" s="113"/>
    </row>
    <row r="144" spans="1:12">
      <c r="A144" s="113"/>
      <c r="B144" s="113"/>
      <c r="C144" s="113"/>
      <c r="D144" s="113"/>
      <c r="E144" s="113"/>
      <c r="F144" s="113" t="s">
        <v>70</v>
      </c>
      <c r="G144" s="113"/>
      <c r="H144" s="113"/>
      <c r="I144" s="113"/>
      <c r="J144" s="113"/>
      <c r="K144" s="113"/>
      <c r="L144" s="113"/>
    </row>
    <row r="145" spans="1:12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</row>
    <row r="146" spans="1:12" ht="13">
      <c r="A146" s="113" t="s">
        <v>71</v>
      </c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</row>
    <row r="147" spans="1:12">
      <c r="A147" s="113" t="s">
        <v>72</v>
      </c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</row>
    <row r="148" spans="1:12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</row>
    <row r="149" spans="1:12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</row>
    <row r="150" spans="1:12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2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</row>
    <row r="152" spans="1:12">
      <c r="A152" s="113" t="s">
        <v>73</v>
      </c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</row>
    <row r="153" spans="1:12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</row>
    <row r="154" spans="1:12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</row>
    <row r="155" spans="1:12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</row>
    <row r="156" spans="1:12" ht="13" thickBo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</row>
    <row r="157" spans="1:12" ht="13" thickBot="1">
      <c r="A157" s="118" t="s">
        <v>44</v>
      </c>
      <c r="B157" s="119" t="s">
        <v>74</v>
      </c>
      <c r="C157" s="120"/>
      <c r="D157" s="120"/>
      <c r="E157" s="120"/>
      <c r="F157" s="121" t="s">
        <v>46</v>
      </c>
      <c r="G157" s="100" t="s">
        <v>47</v>
      </c>
      <c r="H157" s="100"/>
      <c r="I157" s="118" t="s">
        <v>48</v>
      </c>
      <c r="J157" s="119">
        <v>2</v>
      </c>
      <c r="K157" s="122" t="s">
        <v>49</v>
      </c>
      <c r="L157" s="123">
        <v>2</v>
      </c>
    </row>
    <row r="158" spans="1:12" ht="13" thickBot="1">
      <c r="A158" s="118" t="s">
        <v>50</v>
      </c>
      <c r="B158" s="119" t="s">
        <v>51</v>
      </c>
      <c r="C158" s="120"/>
      <c r="D158" s="120"/>
      <c r="E158" s="123"/>
      <c r="F158" s="118" t="s">
        <v>52</v>
      </c>
      <c r="G158" s="119"/>
      <c r="H158" s="120"/>
      <c r="I158" s="120"/>
      <c r="J158" s="117"/>
      <c r="K158" s="117"/>
      <c r="L158" s="124"/>
    </row>
    <row r="159" spans="1:12" ht="13" thickBot="1">
      <c r="A159" s="118" t="s">
        <v>53</v>
      </c>
      <c r="B159" s="119" t="s">
        <v>75</v>
      </c>
      <c r="C159" s="120"/>
      <c r="D159" s="120"/>
      <c r="E159" s="123"/>
      <c r="F159" s="118" t="s">
        <v>55</v>
      </c>
      <c r="G159" s="119"/>
      <c r="H159" s="120"/>
      <c r="I159" s="120"/>
      <c r="J159" s="120"/>
      <c r="K159" s="120"/>
      <c r="L159" s="123"/>
    </row>
    <row r="160" spans="1:12">
      <c r="A160" s="307" t="s">
        <v>56</v>
      </c>
      <c r="B160" s="126" t="s">
        <v>57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27"/>
    </row>
    <row r="161" spans="1:12">
      <c r="A161" s="307"/>
      <c r="B161" s="128"/>
      <c r="C161" s="113"/>
      <c r="D161" s="113"/>
      <c r="E161" s="113"/>
      <c r="F161" s="113"/>
      <c r="G161" s="113"/>
      <c r="H161" s="113"/>
      <c r="I161" s="113"/>
      <c r="J161" s="113"/>
      <c r="K161" s="113"/>
      <c r="L161" s="129"/>
    </row>
    <row r="162" spans="1:12" ht="13" thickBot="1">
      <c r="A162" s="307"/>
      <c r="B162" s="130"/>
      <c r="C162" s="117"/>
      <c r="D162" s="117"/>
      <c r="E162" s="117"/>
      <c r="F162" s="117"/>
      <c r="G162" s="117"/>
      <c r="H162" s="117"/>
      <c r="I162" s="117"/>
      <c r="J162" s="117"/>
      <c r="K162" s="117"/>
      <c r="L162" s="124"/>
    </row>
    <row r="163" spans="1:12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</row>
    <row r="164" spans="1:12" ht="13.5" thickBot="1">
      <c r="A164" s="116" t="s">
        <v>76</v>
      </c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</row>
    <row r="165" spans="1:12" ht="13.5" thickBot="1">
      <c r="A165" s="132" t="s">
        <v>77</v>
      </c>
      <c r="B165" s="133">
        <v>-0.12</v>
      </c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</row>
    <row r="166" spans="1:12" ht="13" thickBot="1">
      <c r="A166" s="109" t="s">
        <v>78</v>
      </c>
      <c r="B166" s="110" t="s">
        <v>79</v>
      </c>
      <c r="C166" s="111" t="s">
        <v>80</v>
      </c>
      <c r="D166" s="113"/>
      <c r="E166" s="113"/>
      <c r="F166" s="113"/>
      <c r="G166" s="113"/>
      <c r="H166" s="113"/>
      <c r="I166" s="113"/>
      <c r="J166" s="113"/>
      <c r="K166" s="113"/>
      <c r="L166" s="113"/>
    </row>
    <row r="167" spans="1:12">
      <c r="A167" s="103">
        <v>0.5</v>
      </c>
      <c r="B167" s="104">
        <f>2/(1.4*A167^2)*(((1+((1.4-1)/2)*A167^2)/(1+(1.4-1)/2))^(1.4/(1.4-1))-1)</f>
        <v>-2.133402668349714</v>
      </c>
      <c r="C167" s="105">
        <f>$B$165/(SQRT(1-A167^2))</f>
        <v>-0.13856406460551018</v>
      </c>
      <c r="D167" s="113"/>
      <c r="E167" s="113"/>
      <c r="F167" s="113"/>
      <c r="G167" s="113"/>
      <c r="H167" s="113"/>
      <c r="I167" s="113"/>
      <c r="J167" s="113"/>
      <c r="K167" s="113"/>
      <c r="L167" s="113"/>
    </row>
    <row r="168" spans="1:12">
      <c r="A168" s="103">
        <f>A167+0.025</f>
        <v>0.52500000000000002</v>
      </c>
      <c r="B168" s="104">
        <f t="shared" ref="B168:B187" si="0">2/(1.4*A168^2)*(((1+((1.4-1)/2)*A168^2)/(1+(1.4-1)/2))^(1.4/(1.4-1))-1)</f>
        <v>-1.8792336576441555</v>
      </c>
      <c r="C168" s="105">
        <f t="shared" ref="C168:C186" si="1">$B$165/(SQRT(1-A168^2))</f>
        <v>-0.14099363890705119</v>
      </c>
      <c r="D168" s="113"/>
      <c r="E168" s="113"/>
      <c r="F168" s="113"/>
      <c r="G168" s="113"/>
      <c r="H168" s="113"/>
      <c r="I168" s="113"/>
      <c r="J168" s="113"/>
      <c r="K168" s="113"/>
      <c r="L168" s="113"/>
    </row>
    <row r="169" spans="1:12">
      <c r="A169" s="103">
        <f t="shared" ref="A169:A187" si="2">A168+0.025</f>
        <v>0.55000000000000004</v>
      </c>
      <c r="B169" s="104">
        <f t="shared" si="0"/>
        <v>-1.6582622168975083</v>
      </c>
      <c r="C169" s="105">
        <f t="shared" si="1"/>
        <v>-0.14368424162141991</v>
      </c>
      <c r="D169" s="113"/>
      <c r="E169" s="113"/>
      <c r="F169" s="113"/>
      <c r="G169" s="113"/>
      <c r="H169" s="113"/>
      <c r="I169" s="113"/>
      <c r="J169" s="113"/>
      <c r="K169" s="113"/>
      <c r="L169" s="113"/>
    </row>
    <row r="170" spans="1:12">
      <c r="A170" s="103">
        <f t="shared" si="2"/>
        <v>0.57500000000000007</v>
      </c>
      <c r="B170" s="104">
        <f t="shared" si="0"/>
        <v>-1.464806802032955</v>
      </c>
      <c r="C170" s="105">
        <f t="shared" si="1"/>
        <v>-0.14667175952451381</v>
      </c>
      <c r="D170" s="113"/>
      <c r="E170" s="113"/>
      <c r="F170" s="113"/>
      <c r="G170" s="113"/>
      <c r="H170" s="113"/>
      <c r="I170" s="113"/>
      <c r="J170" s="113"/>
      <c r="K170" s="113"/>
      <c r="L170" s="113"/>
    </row>
    <row r="171" spans="1:12">
      <c r="A171" s="103">
        <f t="shared" si="2"/>
        <v>0.60000000000000009</v>
      </c>
      <c r="B171" s="104">
        <f t="shared" si="0"/>
        <v>-1.2943435904552825</v>
      </c>
      <c r="C171" s="105">
        <f t="shared" si="1"/>
        <v>-0.15</v>
      </c>
      <c r="D171" s="113"/>
      <c r="E171" s="113"/>
      <c r="F171" s="113"/>
      <c r="G171" s="113"/>
      <c r="H171" s="113"/>
      <c r="I171" s="113"/>
      <c r="J171" s="113"/>
      <c r="K171" s="113"/>
      <c r="L171" s="113"/>
    </row>
    <row r="172" spans="1:12">
      <c r="A172" s="103">
        <f t="shared" si="2"/>
        <v>0.62500000000000011</v>
      </c>
      <c r="B172" s="104">
        <f t="shared" si="0"/>
        <v>-1.1432343202924669</v>
      </c>
      <c r="C172" s="105">
        <f t="shared" si="1"/>
        <v>-0.15372302765288365</v>
      </c>
      <c r="D172" s="113"/>
      <c r="E172" s="113"/>
      <c r="F172" s="113"/>
      <c r="G172" s="113"/>
      <c r="H172" s="113"/>
      <c r="I172" s="113"/>
      <c r="J172" s="113"/>
      <c r="K172" s="113"/>
      <c r="L172" s="113"/>
    </row>
    <row r="173" spans="1:12">
      <c r="A173" s="103">
        <f t="shared" si="2"/>
        <v>0.65000000000000013</v>
      </c>
      <c r="B173" s="104">
        <f t="shared" si="0"/>
        <v>-1.0085259417860786</v>
      </c>
      <c r="C173" s="105">
        <f t="shared" si="1"/>
        <v>-0.15790840679034457</v>
      </c>
      <c r="D173" s="113"/>
      <c r="E173" s="113"/>
      <c r="F173" s="113"/>
      <c r="G173" s="113"/>
      <c r="H173" s="113"/>
      <c r="I173" s="113"/>
      <c r="J173" s="113"/>
      <c r="K173" s="113"/>
      <c r="L173" s="113"/>
    </row>
    <row r="174" spans="1:12">
      <c r="A174" s="103">
        <f t="shared" si="2"/>
        <v>0.67500000000000016</v>
      </c>
      <c r="B174" s="104">
        <f t="shared" si="0"/>
        <v>-0.88780121440446147</v>
      </c>
      <c r="C174" s="105">
        <f t="shared" si="1"/>
        <v>-0.16264179541720736</v>
      </c>
      <c r="D174" s="113"/>
      <c r="E174" s="113"/>
      <c r="F174" s="113"/>
      <c r="G174" s="113"/>
      <c r="H174" s="113"/>
      <c r="I174" s="113"/>
      <c r="J174" s="113"/>
      <c r="K174" s="113"/>
      <c r="L174" s="113"/>
    </row>
    <row r="175" spans="1:12">
      <c r="A175" s="103">
        <f t="shared" si="2"/>
        <v>0.70000000000000018</v>
      </c>
      <c r="B175" s="104">
        <f t="shared" si="0"/>
        <v>-0.77906596455962962</v>
      </c>
      <c r="C175" s="105">
        <f t="shared" si="1"/>
        <v>-0.16803361008336121</v>
      </c>
      <c r="D175" s="113"/>
      <c r="E175" s="113"/>
      <c r="F175" s="113"/>
      <c r="G175" s="113"/>
      <c r="H175" s="113"/>
      <c r="I175" s="113"/>
      <c r="J175" s="113"/>
      <c r="K175" s="113"/>
      <c r="L175" s="113"/>
    </row>
    <row r="176" spans="1:12">
      <c r="A176" s="103">
        <f t="shared" si="2"/>
        <v>0.7250000000000002</v>
      </c>
      <c r="B176" s="104">
        <f t="shared" si="0"/>
        <v>-0.68066307202112553</v>
      </c>
      <c r="C176" s="105">
        <f t="shared" si="1"/>
        <v>-0.17422896207375071</v>
      </c>
      <c r="D176" s="113"/>
      <c r="E176" s="113"/>
      <c r="F176" s="113"/>
      <c r="G176" s="113"/>
      <c r="H176" s="113"/>
      <c r="I176" s="113"/>
      <c r="J176" s="113"/>
      <c r="K176" s="113"/>
      <c r="L176" s="113"/>
    </row>
    <row r="177" spans="1:12">
      <c r="A177" s="103">
        <f t="shared" si="2"/>
        <v>0.75000000000000022</v>
      </c>
      <c r="B177" s="104">
        <f t="shared" si="0"/>
        <v>-0.59120618074665254</v>
      </c>
      <c r="C177" s="105">
        <f t="shared" si="1"/>
        <v>-0.18142294704442916</v>
      </c>
      <c r="D177" s="113"/>
      <c r="E177" s="113"/>
      <c r="F177" s="113"/>
      <c r="G177" s="113"/>
      <c r="H177" s="113"/>
      <c r="I177" s="113"/>
      <c r="J177" s="113"/>
      <c r="K177" s="113"/>
      <c r="L177" s="113"/>
    </row>
    <row r="178" spans="1:12">
      <c r="A178" s="103">
        <f t="shared" si="2"/>
        <v>0.77500000000000024</v>
      </c>
      <c r="B178" s="104">
        <f t="shared" si="0"/>
        <v>-0.50952812909954748</v>
      </c>
      <c r="C178" s="105">
        <f t="shared" si="1"/>
        <v>-0.18988506531101662</v>
      </c>
      <c r="D178" s="113"/>
      <c r="E178" s="113"/>
      <c r="F178" s="113"/>
      <c r="G178" s="113"/>
      <c r="H178" s="113"/>
      <c r="I178" s="113"/>
      <c r="J178" s="113"/>
      <c r="K178" s="113"/>
      <c r="L178" s="113"/>
    </row>
    <row r="179" spans="1:12">
      <c r="A179" s="103">
        <f t="shared" si="2"/>
        <v>0.80000000000000027</v>
      </c>
      <c r="B179" s="104">
        <f t="shared" si="0"/>
        <v>-0.43464047915522891</v>
      </c>
      <c r="C179" s="105">
        <f t="shared" si="1"/>
        <v>-0.20000000000000012</v>
      </c>
      <c r="D179" s="113"/>
      <c r="E179" s="113"/>
      <c r="F179" s="113"/>
      <c r="G179" s="113"/>
      <c r="H179" s="113"/>
      <c r="I179" s="113"/>
      <c r="J179" s="113"/>
      <c r="K179" s="113"/>
      <c r="L179" s="113"/>
    </row>
    <row r="180" spans="1:12">
      <c r="A180" s="103">
        <f t="shared" si="2"/>
        <v>0.82500000000000029</v>
      </c>
      <c r="B180" s="104">
        <f t="shared" si="0"/>
        <v>-0.36570149657757012</v>
      </c>
      <c r="C180" s="105">
        <f t="shared" si="1"/>
        <v>-0.21233949849782838</v>
      </c>
      <c r="D180" s="113"/>
      <c r="E180" s="113"/>
      <c r="F180" s="113"/>
      <c r="G180" s="113"/>
      <c r="H180" s="113"/>
      <c r="I180" s="113"/>
      <c r="J180" s="113"/>
      <c r="K180" s="113"/>
      <c r="L180" s="113"/>
    </row>
    <row r="181" spans="1:12">
      <c r="A181" s="103">
        <f t="shared" si="2"/>
        <v>0.85000000000000031</v>
      </c>
      <c r="B181" s="104">
        <f t="shared" si="0"/>
        <v>-0.30199062290533707</v>
      </c>
      <c r="C181" s="105">
        <f t="shared" si="1"/>
        <v>-0.22779791898059995</v>
      </c>
      <c r="D181" s="113"/>
      <c r="E181" s="113"/>
      <c r="F181" s="113"/>
      <c r="G181" s="113"/>
      <c r="H181" s="113"/>
      <c r="I181" s="113"/>
      <c r="J181" s="113"/>
      <c r="K181" s="113"/>
      <c r="L181" s="113"/>
    </row>
    <row r="182" spans="1:12">
      <c r="A182" s="103">
        <f t="shared" si="2"/>
        <v>0.87500000000000033</v>
      </c>
      <c r="B182" s="104">
        <f t="shared" si="0"/>
        <v>-0.24288797814629501</v>
      </c>
      <c r="C182" s="105">
        <f t="shared" si="1"/>
        <v>-0.24787093415727499</v>
      </c>
      <c r="D182" s="113"/>
      <c r="E182" s="113"/>
      <c r="F182" s="113"/>
      <c r="G182" s="113"/>
      <c r="H182" s="113"/>
      <c r="I182" s="113"/>
      <c r="J182" s="113"/>
      <c r="K182" s="113"/>
      <c r="L182" s="113"/>
    </row>
    <row r="183" spans="1:12">
      <c r="A183" s="103">
        <f t="shared" si="2"/>
        <v>0.90000000000000036</v>
      </c>
      <c r="B183" s="104">
        <f t="shared" si="0"/>
        <v>-0.18785779183683954</v>
      </c>
      <c r="C183" s="105">
        <f t="shared" si="1"/>
        <v>-0.27529888064467456</v>
      </c>
      <c r="D183" s="113"/>
      <c r="E183" s="113"/>
      <c r="F183" s="113"/>
      <c r="G183" s="113"/>
      <c r="H183" s="113"/>
      <c r="I183" s="113"/>
      <c r="J183" s="113"/>
      <c r="K183" s="113"/>
      <c r="L183" s="113"/>
    </row>
    <row r="184" spans="1:12">
      <c r="A184" s="103">
        <f t="shared" si="2"/>
        <v>0.92500000000000038</v>
      </c>
      <c r="B184" s="104">
        <f t="shared" si="0"/>
        <v>-0.13643492498851681</v>
      </c>
      <c r="C184" s="105">
        <f t="shared" si="1"/>
        <v>-0.31581681358068991</v>
      </c>
      <c r="D184" s="113"/>
      <c r="E184" s="113"/>
      <c r="F184" s="113"/>
      <c r="G184" s="113"/>
      <c r="H184" s="113"/>
      <c r="I184" s="113"/>
      <c r="J184" s="113"/>
      <c r="K184" s="113"/>
      <c r="L184" s="113"/>
    </row>
    <row r="185" spans="1:12">
      <c r="A185" s="103">
        <f t="shared" si="2"/>
        <v>0.9500000000000004</v>
      </c>
      <c r="B185" s="104">
        <f t="shared" si="0"/>
        <v>-8.8213841015504529E-2</v>
      </c>
      <c r="C185" s="105">
        <f t="shared" si="1"/>
        <v>-0.38430756913221059</v>
      </c>
      <c r="D185" s="113"/>
      <c r="E185" s="113"/>
      <c r="F185" s="113"/>
      <c r="G185" s="113"/>
      <c r="H185" s="113"/>
      <c r="I185" s="113"/>
      <c r="J185" s="113"/>
      <c r="K185" s="113"/>
      <c r="L185" s="113"/>
    </row>
    <row r="186" spans="1:12">
      <c r="A186" s="103">
        <f t="shared" si="2"/>
        <v>0.97500000000000042</v>
      </c>
      <c r="B186" s="104">
        <f t="shared" si="0"/>
        <v>-4.2839529905831897E-2</v>
      </c>
      <c r="C186" s="105">
        <f t="shared" si="1"/>
        <v>-0.54004219244449603</v>
      </c>
      <c r="D186" s="113"/>
      <c r="E186" s="113"/>
      <c r="F186" s="113"/>
      <c r="G186" s="113"/>
      <c r="H186" s="113"/>
      <c r="I186" s="113"/>
      <c r="J186" s="113"/>
      <c r="K186" s="113"/>
      <c r="L186" s="113"/>
    </row>
    <row r="187" spans="1:12" ht="13" thickBot="1">
      <c r="A187" s="106">
        <f t="shared" si="2"/>
        <v>1.0000000000000004</v>
      </c>
      <c r="B187" s="107">
        <f t="shared" si="0"/>
        <v>1.2688263138573206E-15</v>
      </c>
      <c r="C187" s="108">
        <v>-2.13</v>
      </c>
      <c r="D187" s="113"/>
      <c r="E187" s="113"/>
      <c r="F187" s="113"/>
      <c r="G187" s="113"/>
      <c r="H187" s="113"/>
      <c r="I187" s="113"/>
      <c r="J187" s="113"/>
      <c r="K187" s="113"/>
      <c r="L187" s="113"/>
    </row>
    <row r="188" spans="1:12">
      <c r="A188" s="112"/>
      <c r="B188" s="112"/>
      <c r="C188" s="134"/>
      <c r="D188" s="113"/>
      <c r="E188" s="113"/>
      <c r="F188" s="113"/>
      <c r="G188" s="113"/>
      <c r="H188" s="113"/>
      <c r="I188" s="113"/>
      <c r="J188" s="113"/>
      <c r="K188" s="113"/>
      <c r="L188" s="113"/>
    </row>
    <row r="189" spans="1:12">
      <c r="A189" s="112" t="s">
        <v>81</v>
      </c>
      <c r="B189" s="112"/>
      <c r="C189" s="134"/>
      <c r="D189" s="113"/>
      <c r="E189" s="113"/>
      <c r="F189" s="113"/>
      <c r="G189" s="113"/>
      <c r="H189" s="113"/>
      <c r="I189" s="113"/>
      <c r="J189" s="113"/>
      <c r="K189" s="113"/>
      <c r="L189" s="113"/>
    </row>
    <row r="190" spans="1:12">
      <c r="A190" s="112" t="s">
        <v>82</v>
      </c>
      <c r="B190" s="112"/>
      <c r="C190" s="134"/>
      <c r="D190" s="113"/>
      <c r="E190" s="113"/>
      <c r="F190" s="113"/>
      <c r="G190" s="113"/>
      <c r="H190" s="113"/>
      <c r="I190" s="113"/>
      <c r="J190" s="113"/>
      <c r="K190" s="113"/>
      <c r="L190" s="113"/>
    </row>
    <row r="191" spans="1:12">
      <c r="A191" s="112" t="s">
        <v>83</v>
      </c>
      <c r="B191" s="112"/>
      <c r="C191" s="134"/>
      <c r="D191" s="113"/>
      <c r="E191" s="113"/>
      <c r="F191" s="113"/>
      <c r="G191" s="113"/>
      <c r="H191" s="113"/>
      <c r="I191" s="113"/>
      <c r="J191" s="113"/>
      <c r="K191" s="113"/>
      <c r="L191" s="113"/>
    </row>
    <row r="192" spans="1:12">
      <c r="A192" s="112"/>
      <c r="B192" s="112"/>
      <c r="C192" s="134"/>
      <c r="D192" s="113"/>
      <c r="E192" s="113"/>
      <c r="F192" s="113"/>
      <c r="G192" s="113"/>
      <c r="H192" s="113"/>
      <c r="I192" s="113"/>
      <c r="J192" s="113"/>
      <c r="K192" s="113"/>
      <c r="L192" s="113"/>
    </row>
    <row r="193" spans="1:12">
      <c r="A193" s="113" t="s">
        <v>84</v>
      </c>
      <c r="B193" s="113">
        <v>1</v>
      </c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</row>
    <row r="194" spans="1:12">
      <c r="A194" s="112" t="s">
        <v>85</v>
      </c>
      <c r="B194" s="112" t="s">
        <v>84</v>
      </c>
      <c r="C194" s="134" t="s">
        <v>86</v>
      </c>
      <c r="D194" s="113" t="s">
        <v>87</v>
      </c>
      <c r="E194" s="113"/>
      <c r="F194" s="113"/>
      <c r="G194" s="113"/>
      <c r="H194" s="113"/>
      <c r="I194" s="113"/>
      <c r="J194" s="113"/>
      <c r="K194" s="113"/>
      <c r="L194" s="113"/>
    </row>
    <row r="195" spans="1:12">
      <c r="A195" s="112">
        <v>0</v>
      </c>
      <c r="B195" s="112">
        <f>$B$193</f>
        <v>1</v>
      </c>
      <c r="C195" s="134">
        <f>1-(1+2*RADIANS(B195)*SQRT(A195/1))^2</f>
        <v>0</v>
      </c>
      <c r="D195" s="134">
        <f>1-(1-2*RADIANS(B195)*SQRT(A195/1))^2</f>
        <v>0</v>
      </c>
      <c r="E195" s="113"/>
      <c r="F195" s="113"/>
      <c r="G195" s="113"/>
      <c r="H195" s="113"/>
      <c r="I195" s="113"/>
      <c r="J195" s="113"/>
      <c r="K195" s="113"/>
      <c r="L195" s="113"/>
    </row>
    <row r="196" spans="1:12">
      <c r="A196" s="112">
        <f>A195+$A$205/10</f>
        <v>0.1</v>
      </c>
      <c r="B196" s="112">
        <f t="shared" ref="B196:B205" si="3">$B$193</f>
        <v>1</v>
      </c>
      <c r="C196" s="134">
        <f t="shared" ref="C196:C205" si="4">1-(1+2*RADIANS(B196)*SQRT(A196/1))^2</f>
        <v>-2.2198709780794745E-2</v>
      </c>
      <c r="D196" s="134">
        <f t="shared" ref="D196:D205" si="5">1-(1-2*RADIANS(B196)*SQRT(A196/1))^2</f>
        <v>2.1955015844965509E-2</v>
      </c>
      <c r="E196" s="113"/>
      <c r="F196" s="113"/>
      <c r="G196" s="113"/>
      <c r="H196" s="113"/>
      <c r="I196" s="113"/>
      <c r="J196" s="113"/>
      <c r="K196" s="113"/>
      <c r="L196" s="113"/>
    </row>
    <row r="197" spans="1:12">
      <c r="A197" s="112">
        <f t="shared" ref="A197:A204" si="6">A196+$A$205/10</f>
        <v>0.2</v>
      </c>
      <c r="B197" s="112">
        <f t="shared" si="3"/>
        <v>1</v>
      </c>
      <c r="C197" s="134">
        <f t="shared" si="4"/>
        <v>-3.1465092740454725E-2</v>
      </c>
      <c r="D197" s="134">
        <f t="shared" si="5"/>
        <v>3.0977704868796141E-2</v>
      </c>
      <c r="E197" s="113"/>
      <c r="F197" s="113"/>
      <c r="G197" s="113"/>
      <c r="H197" s="113"/>
      <c r="I197" s="113"/>
      <c r="J197" s="113"/>
      <c r="K197" s="113"/>
      <c r="L197" s="113"/>
    </row>
    <row r="198" spans="1:12">
      <c r="A198" s="112">
        <f t="shared" si="6"/>
        <v>0.30000000000000004</v>
      </c>
      <c r="B198" s="112">
        <f t="shared" si="3"/>
        <v>1</v>
      </c>
      <c r="C198" s="134">
        <f t="shared" si="4"/>
        <v>-3.8603788967380481E-2</v>
      </c>
      <c r="D198" s="134">
        <f t="shared" si="5"/>
        <v>3.7872707159892438E-2</v>
      </c>
      <c r="E198" s="113"/>
      <c r="F198" s="113"/>
      <c r="G198" s="113"/>
      <c r="H198" s="113"/>
      <c r="I198" s="113"/>
      <c r="J198" s="113"/>
      <c r="K198" s="113"/>
      <c r="L198" s="113"/>
    </row>
    <row r="199" spans="1:12">
      <c r="A199" s="112">
        <f t="shared" si="6"/>
        <v>0.4</v>
      </c>
      <c r="B199" s="112">
        <f t="shared" si="3"/>
        <v>1</v>
      </c>
      <c r="C199" s="134">
        <f t="shared" si="4"/>
        <v>-4.4641113497419171E-2</v>
      </c>
      <c r="D199" s="134">
        <f t="shared" si="5"/>
        <v>4.3666337754101781E-2</v>
      </c>
      <c r="E199" s="113"/>
      <c r="F199" s="113"/>
      <c r="G199" s="113"/>
      <c r="H199" s="113"/>
      <c r="I199" s="113"/>
      <c r="J199" s="113"/>
      <c r="K199" s="113"/>
      <c r="L199" s="113"/>
    </row>
    <row r="200" spans="1:12">
      <c r="A200" s="112">
        <f t="shared" si="6"/>
        <v>0.5</v>
      </c>
      <c r="B200" s="112">
        <f t="shared" si="3"/>
        <v>1</v>
      </c>
      <c r="C200" s="134">
        <f t="shared" si="4"/>
        <v>-4.9974600819110648E-2</v>
      </c>
      <c r="D200" s="134">
        <f t="shared" si="5"/>
        <v>4.8756131139964021E-2</v>
      </c>
      <c r="E200" s="113" t="s">
        <v>88</v>
      </c>
      <c r="F200" s="113"/>
      <c r="G200" s="113"/>
      <c r="H200" s="113"/>
      <c r="I200" s="113"/>
      <c r="J200" s="113"/>
      <c r="K200" s="113"/>
      <c r="L200" s="113"/>
    </row>
    <row r="201" spans="1:12">
      <c r="A201" s="112">
        <f t="shared" si="6"/>
        <v>0.6</v>
      </c>
      <c r="B201" s="112">
        <f t="shared" si="3"/>
        <v>1</v>
      </c>
      <c r="C201" s="134">
        <f t="shared" si="4"/>
        <v>-5.4808130820469758E-2</v>
      </c>
      <c r="D201" s="134">
        <f t="shared" si="5"/>
        <v>5.334596720549345E-2</v>
      </c>
      <c r="E201" s="113"/>
      <c r="F201" s="113"/>
      <c r="G201" s="113"/>
      <c r="H201" s="113"/>
      <c r="I201" s="113"/>
      <c r="J201" s="113"/>
      <c r="K201" s="113"/>
      <c r="L201" s="113"/>
    </row>
    <row r="202" spans="1:12">
      <c r="A202" s="112">
        <f t="shared" si="6"/>
        <v>0.7</v>
      </c>
      <c r="B202" s="112">
        <f t="shared" si="3"/>
        <v>1</v>
      </c>
      <c r="C202" s="134">
        <f t="shared" si="4"/>
        <v>-5.9262817506773757E-2</v>
      </c>
      <c r="D202" s="134">
        <f t="shared" si="5"/>
        <v>5.7556959955968101E-2</v>
      </c>
      <c r="E202" s="113"/>
      <c r="F202" s="113"/>
      <c r="G202" s="113"/>
      <c r="H202" s="113"/>
      <c r="I202" s="113"/>
      <c r="J202" s="113"/>
      <c r="K202" s="113"/>
      <c r="L202" s="113"/>
    </row>
    <row r="203" spans="1:12">
      <c r="A203" s="112">
        <f t="shared" si="6"/>
        <v>0.79999999999999993</v>
      </c>
      <c r="B203" s="112">
        <f t="shared" si="3"/>
        <v>1</v>
      </c>
      <c r="C203" s="134">
        <f t="shared" si="4"/>
        <v>-6.3417573352568368E-2</v>
      </c>
      <c r="D203" s="134">
        <f t="shared" si="5"/>
        <v>6.1468021865933475E-2</v>
      </c>
      <c r="E203" s="113"/>
      <c r="F203" s="113"/>
      <c r="G203" s="113"/>
      <c r="H203" s="113"/>
      <c r="I203" s="113"/>
      <c r="J203" s="113"/>
      <c r="K203" s="113"/>
      <c r="L203" s="113"/>
    </row>
    <row r="204" spans="1:12">
      <c r="A204" s="112">
        <f t="shared" si="6"/>
        <v>0.89999999999999991</v>
      </c>
      <c r="B204" s="112">
        <f t="shared" si="3"/>
        <v>1</v>
      </c>
      <c r="C204" s="134">
        <f t="shared" si="4"/>
        <v>-6.7327211149872612E-2</v>
      </c>
      <c r="D204" s="134">
        <f t="shared" si="5"/>
        <v>6.5133965727408594E-2</v>
      </c>
      <c r="E204" s="113"/>
      <c r="F204" s="113"/>
      <c r="G204" s="113"/>
      <c r="H204" s="113"/>
      <c r="I204" s="113"/>
      <c r="J204" s="113"/>
      <c r="K204" s="113"/>
      <c r="L204" s="113"/>
    </row>
    <row r="205" spans="1:12">
      <c r="A205" s="112">
        <v>1</v>
      </c>
      <c r="B205" s="112">
        <f t="shared" si="3"/>
        <v>1</v>
      </c>
      <c r="C205" s="134">
        <f t="shared" si="4"/>
        <v>-7.1031639758920129E-2</v>
      </c>
      <c r="D205" s="134">
        <f t="shared" si="5"/>
        <v>6.8594700400626429E-2</v>
      </c>
      <c r="E205" s="113"/>
      <c r="F205" s="113"/>
      <c r="G205" s="113"/>
      <c r="H205" s="113"/>
      <c r="I205" s="113"/>
      <c r="J205" s="113"/>
      <c r="K205" s="113"/>
      <c r="L205" s="113"/>
    </row>
    <row r="206" spans="1:12">
      <c r="A206" s="112"/>
      <c r="B206" s="112"/>
      <c r="C206" s="134"/>
      <c r="D206" s="113"/>
      <c r="E206" s="113"/>
      <c r="F206" s="113"/>
      <c r="G206" s="113"/>
      <c r="H206" s="113"/>
      <c r="I206" s="113"/>
      <c r="J206" s="113"/>
      <c r="K206" s="113"/>
      <c r="L206" s="113"/>
    </row>
    <row r="207" spans="1:12">
      <c r="A207" s="112"/>
      <c r="B207" s="112"/>
      <c r="C207" s="134"/>
      <c r="D207" s="113"/>
      <c r="E207" s="113"/>
      <c r="F207" s="113"/>
      <c r="G207" s="113"/>
      <c r="H207" s="113"/>
      <c r="I207" s="113"/>
      <c r="J207" s="113"/>
      <c r="K207" s="113"/>
      <c r="L207" s="113"/>
    </row>
    <row r="208" spans="1:12" ht="13" thickBot="1">
      <c r="A208" s="135"/>
      <c r="B208" s="135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</row>
    <row r="209" spans="1:12" ht="13" thickBot="1">
      <c r="A209" s="118" t="s">
        <v>44</v>
      </c>
      <c r="B209" s="119" t="s">
        <v>89</v>
      </c>
      <c r="C209" s="120"/>
      <c r="D209" s="120"/>
      <c r="E209" s="120"/>
      <c r="F209" s="121" t="s">
        <v>46</v>
      </c>
      <c r="G209" s="100" t="s">
        <v>47</v>
      </c>
      <c r="H209" s="100"/>
      <c r="I209" s="118" t="s">
        <v>48</v>
      </c>
      <c r="J209" s="165">
        <v>1</v>
      </c>
      <c r="K209" s="102" t="s">
        <v>49</v>
      </c>
      <c r="L209" s="101">
        <v>1</v>
      </c>
    </row>
    <row r="210" spans="1:12" ht="13" thickBot="1">
      <c r="A210" s="118" t="s">
        <v>50</v>
      </c>
      <c r="B210" s="119" t="s">
        <v>51</v>
      </c>
      <c r="C210" s="120"/>
      <c r="D210" s="120"/>
      <c r="E210" s="123"/>
      <c r="F210" s="118" t="s">
        <v>52</v>
      </c>
      <c r="G210" s="119"/>
      <c r="H210" s="120"/>
      <c r="I210" s="120"/>
      <c r="J210" s="117"/>
      <c r="K210" s="117"/>
      <c r="L210" s="124"/>
    </row>
    <row r="211" spans="1:12" ht="13" thickBot="1">
      <c r="A211" s="118" t="s">
        <v>53</v>
      </c>
      <c r="B211" s="119" t="s">
        <v>75</v>
      </c>
      <c r="C211" s="120"/>
      <c r="D211" s="120"/>
      <c r="E211" s="123"/>
      <c r="F211" s="118" t="s">
        <v>55</v>
      </c>
      <c r="G211" s="119"/>
      <c r="H211" s="120"/>
      <c r="I211" s="120"/>
      <c r="J211" s="120"/>
      <c r="K211" s="120"/>
      <c r="L211" s="123"/>
    </row>
    <row r="212" spans="1:12">
      <c r="A212" s="307" t="s">
        <v>56</v>
      </c>
      <c r="B212" s="126" t="s">
        <v>57</v>
      </c>
      <c r="C212" s="100"/>
      <c r="D212" s="100"/>
      <c r="E212" s="100"/>
      <c r="F212" s="100"/>
      <c r="G212" s="100"/>
      <c r="H212" s="100"/>
      <c r="I212" s="100"/>
      <c r="J212" s="100"/>
      <c r="K212" s="100"/>
      <c r="L212" s="127"/>
    </row>
    <row r="213" spans="1:12">
      <c r="A213" s="307"/>
      <c r="B213" s="128"/>
      <c r="C213" s="113"/>
      <c r="D213" s="113"/>
      <c r="E213" s="113"/>
      <c r="F213" s="113"/>
      <c r="G213" s="113"/>
      <c r="H213" s="113"/>
      <c r="I213" s="113"/>
      <c r="J213" s="113"/>
      <c r="K213" s="113"/>
      <c r="L213" s="129"/>
    </row>
    <row r="214" spans="1:12" ht="13" thickBot="1">
      <c r="A214" s="307"/>
      <c r="B214" s="130"/>
      <c r="C214" s="117"/>
      <c r="D214" s="117"/>
      <c r="E214" s="117"/>
      <c r="F214" s="117"/>
      <c r="G214" s="117"/>
      <c r="H214" s="117"/>
      <c r="I214" s="117"/>
      <c r="J214" s="117"/>
      <c r="K214" s="117"/>
      <c r="L214" s="124"/>
    </row>
    <row r="216" spans="1:12" ht="13">
      <c r="A216" s="136" t="s">
        <v>90</v>
      </c>
    </row>
    <row r="217" spans="1:12" ht="13">
      <c r="A217" s="136" t="s">
        <v>91</v>
      </c>
    </row>
    <row r="219" spans="1:12">
      <c r="A219" s="114" t="s">
        <v>92</v>
      </c>
    </row>
    <row r="220" spans="1:12">
      <c r="A220" s="114" t="s">
        <v>93</v>
      </c>
    </row>
    <row r="221" spans="1:12">
      <c r="A221" s="114" t="s">
        <v>94</v>
      </c>
    </row>
    <row r="223" spans="1:12">
      <c r="D223" s="114" t="s">
        <v>95</v>
      </c>
    </row>
    <row r="225" spans="1:9">
      <c r="A225" s="114" t="s">
        <v>96</v>
      </c>
    </row>
    <row r="226" spans="1:9" ht="13" thickBot="1">
      <c r="A226" s="114" t="s">
        <v>97</v>
      </c>
    </row>
    <row r="227" spans="1:9" ht="13.5" thickBot="1">
      <c r="E227" s="137" t="s">
        <v>98</v>
      </c>
      <c r="F227" s="138" t="s">
        <v>99</v>
      </c>
      <c r="G227" s="139" t="s">
        <v>100</v>
      </c>
    </row>
    <row r="228" spans="1:9">
      <c r="E228" s="140">
        <v>0.1</v>
      </c>
      <c r="F228" s="141">
        <f>1/(1+((1.4-1)/2)*E228^2)^(1/(1.4-1))</f>
        <v>0.99501744764400046</v>
      </c>
      <c r="G228" s="142">
        <f>1-F228</f>
        <v>4.9825523559995366E-3</v>
      </c>
      <c r="I228" s="114" t="s">
        <v>101</v>
      </c>
    </row>
    <row r="229" spans="1:9">
      <c r="E229" s="140">
        <v>0.15</v>
      </c>
      <c r="F229" s="141">
        <f t="shared" ref="F229:F237" si="7">1/(1+((1.4-1)/2)*E229^2)^(1/(1.4-1))</f>
        <v>0.98883799942083594</v>
      </c>
      <c r="G229" s="143">
        <f t="shared" ref="G229:G237" si="8">1-F229</f>
        <v>1.1162000579164055E-2</v>
      </c>
      <c r="I229" s="114" t="s">
        <v>102</v>
      </c>
    </row>
    <row r="230" spans="1:9">
      <c r="E230" s="140">
        <v>0.25</v>
      </c>
      <c r="F230" s="141">
        <f t="shared" si="7"/>
        <v>0.96942099314119834</v>
      </c>
      <c r="G230" s="143">
        <f t="shared" si="8"/>
        <v>3.0579006858801661E-2</v>
      </c>
      <c r="I230" s="114" t="s">
        <v>103</v>
      </c>
    </row>
    <row r="231" spans="1:9">
      <c r="E231" s="140">
        <v>0.28000000000000003</v>
      </c>
      <c r="F231" s="141">
        <f t="shared" si="7"/>
        <v>0.96185088330603818</v>
      </c>
      <c r="G231" s="143">
        <f t="shared" si="8"/>
        <v>3.8149116693961815E-2</v>
      </c>
    </row>
    <row r="232" spans="1:9" ht="13">
      <c r="E232" s="144">
        <v>0.3</v>
      </c>
      <c r="F232" s="145">
        <f t="shared" si="7"/>
        <v>0.95638015306690838</v>
      </c>
      <c r="G232" s="146">
        <f t="shared" si="8"/>
        <v>4.3619846933091622E-2</v>
      </c>
      <c r="I232" s="114" t="s">
        <v>104</v>
      </c>
    </row>
    <row r="233" spans="1:9" ht="13">
      <c r="E233" s="144">
        <v>0.32</v>
      </c>
      <c r="F233" s="145">
        <f t="shared" si="7"/>
        <v>0.95058018276636214</v>
      </c>
      <c r="G233" s="146">
        <f t="shared" si="8"/>
        <v>4.9419817233637864E-2</v>
      </c>
      <c r="I233" s="114" t="s">
        <v>105</v>
      </c>
    </row>
    <row r="234" spans="1:9" ht="13">
      <c r="E234" s="144">
        <v>0.4</v>
      </c>
      <c r="F234" s="145">
        <f t="shared" si="7"/>
        <v>0.92427404330578189</v>
      </c>
      <c r="G234" s="146">
        <f t="shared" si="8"/>
        <v>7.5725956694218111E-2</v>
      </c>
      <c r="I234" s="114" t="s">
        <v>106</v>
      </c>
    </row>
    <row r="235" spans="1:9">
      <c r="E235" s="140">
        <v>0.7</v>
      </c>
      <c r="F235" s="141">
        <f t="shared" si="7"/>
        <v>0.79157879136912335</v>
      </c>
      <c r="G235" s="143">
        <f t="shared" si="8"/>
        <v>0.20842120863087665</v>
      </c>
      <c r="I235" s="114" t="s">
        <v>107</v>
      </c>
    </row>
    <row r="236" spans="1:9">
      <c r="E236" s="140">
        <v>0.8</v>
      </c>
      <c r="F236" s="141">
        <f t="shared" si="7"/>
        <v>0.73999238550892377</v>
      </c>
      <c r="G236" s="143">
        <f t="shared" si="8"/>
        <v>0.26000761449107623</v>
      </c>
      <c r="I236" s="114" t="s">
        <v>108</v>
      </c>
    </row>
    <row r="237" spans="1:9" ht="13" thickBot="1">
      <c r="E237" s="147">
        <v>1</v>
      </c>
      <c r="F237" s="148">
        <f t="shared" si="7"/>
        <v>0.63393814526060888</v>
      </c>
      <c r="G237" s="149">
        <f t="shared" si="8"/>
        <v>0.36606185473939112</v>
      </c>
    </row>
    <row r="239" spans="1:9">
      <c r="A239" s="114" t="s">
        <v>109</v>
      </c>
      <c r="C239" s="114" t="s">
        <v>110</v>
      </c>
    </row>
    <row r="240" spans="1:9">
      <c r="C240" s="114" t="s">
        <v>111</v>
      </c>
    </row>
    <row r="241" spans="1:7">
      <c r="C241" s="114" t="s">
        <v>112</v>
      </c>
    </row>
    <row r="242" spans="1:7" ht="13" thickBot="1"/>
    <row r="243" spans="1:7" ht="15" customHeight="1" thickBot="1">
      <c r="C243" s="308" t="s">
        <v>113</v>
      </c>
      <c r="D243" s="309"/>
      <c r="E243" s="309"/>
      <c r="F243" s="309"/>
      <c r="G243" s="310"/>
    </row>
    <row r="244" spans="1:7">
      <c r="A244" s="114" t="s">
        <v>114</v>
      </c>
      <c r="C244" s="150" t="s">
        <v>115</v>
      </c>
      <c r="D244" s="151"/>
      <c r="E244" s="150">
        <v>80</v>
      </c>
      <c r="F244" s="151">
        <v>300</v>
      </c>
      <c r="G244" s="152" t="s">
        <v>116</v>
      </c>
    </row>
    <row r="245" spans="1:7">
      <c r="A245" s="114" t="s">
        <v>117</v>
      </c>
      <c r="C245" s="150" t="s">
        <v>118</v>
      </c>
      <c r="D245" s="151"/>
      <c r="E245" s="150">
        <v>288</v>
      </c>
      <c r="F245" s="151">
        <v>288</v>
      </c>
      <c r="G245" s="153" t="s">
        <v>119</v>
      </c>
    </row>
    <row r="246" spans="1:7" ht="13" thickBot="1">
      <c r="C246" s="150" t="s">
        <v>120</v>
      </c>
      <c r="D246" s="151"/>
      <c r="E246" s="150">
        <f>101325-0.5*1.225*E244^2</f>
        <v>97405</v>
      </c>
      <c r="F246" s="151">
        <f>101325-0.5*1.225*F244^2</f>
        <v>46199.999999999993</v>
      </c>
      <c r="G246" s="154" t="s">
        <v>121</v>
      </c>
    </row>
    <row r="247" spans="1:7" ht="15" customHeight="1" thickBot="1">
      <c r="A247" s="114" t="s">
        <v>122</v>
      </c>
      <c r="C247" s="308" t="s">
        <v>123</v>
      </c>
      <c r="D247" s="309"/>
      <c r="E247" s="309"/>
      <c r="F247" s="309"/>
      <c r="G247" s="310"/>
    </row>
    <row r="248" spans="1:7">
      <c r="A248" s="114" t="s">
        <v>124</v>
      </c>
      <c r="C248" s="150" t="s">
        <v>118</v>
      </c>
      <c r="D248" s="151"/>
      <c r="E248" s="150">
        <f>288-(E244^2)/(2*1005)</f>
        <v>284.81592039800995</v>
      </c>
      <c r="F248" s="151">
        <f>288-(F244^2)/(2*1005)</f>
        <v>243.22388059701493</v>
      </c>
      <c r="G248" s="152" t="s">
        <v>119</v>
      </c>
    </row>
    <row r="249" spans="1:7" ht="13" thickBot="1">
      <c r="A249" s="114" t="s">
        <v>125</v>
      </c>
      <c r="C249" s="150" t="s">
        <v>120</v>
      </c>
      <c r="D249" s="151"/>
      <c r="E249" s="150">
        <f>(101325)*(E248/288)^(1.4/(1.4-1))</f>
        <v>97458.073088268851</v>
      </c>
      <c r="F249" s="151">
        <f>(101325)*(F248/288)^(1.4/(1.4-1))</f>
        <v>56087.315222353413</v>
      </c>
      <c r="G249" s="154" t="s">
        <v>121</v>
      </c>
    </row>
    <row r="250" spans="1:7" ht="13" thickBot="1">
      <c r="C250" s="155" t="s">
        <v>126</v>
      </c>
      <c r="D250" s="156"/>
      <c r="E250" s="157">
        <f>1-E246/E249</f>
        <v>5.4457354416170833E-4</v>
      </c>
      <c r="F250" s="158">
        <f>1-F246/F249</f>
        <v>0.17628433778932007</v>
      </c>
    </row>
    <row r="253" spans="1:7">
      <c r="C253" s="114" t="s">
        <v>127</v>
      </c>
    </row>
    <row r="254" spans="1:7">
      <c r="C254" s="114" t="s">
        <v>128</v>
      </c>
    </row>
    <row r="256" spans="1:7">
      <c r="C256" s="159" t="s">
        <v>129</v>
      </c>
      <c r="D256" s="159" t="s">
        <v>130</v>
      </c>
      <c r="E256" s="159">
        <f>80/330</f>
        <v>0.24242424242424243</v>
      </c>
      <c r="F256" s="311" t="s">
        <v>78</v>
      </c>
    </row>
    <row r="257" spans="1:12">
      <c r="C257" s="159" t="s">
        <v>131</v>
      </c>
      <c r="D257" s="159" t="s">
        <v>132</v>
      </c>
      <c r="E257" s="159">
        <f>300/330</f>
        <v>0.90909090909090906</v>
      </c>
      <c r="F257" s="312"/>
    </row>
    <row r="259" spans="1:12" ht="13" thickBot="1"/>
    <row r="260" spans="1:12" ht="13" thickBot="1">
      <c r="A260" s="118" t="s">
        <v>44</v>
      </c>
      <c r="B260" s="119" t="s">
        <v>133</v>
      </c>
      <c r="C260" s="120"/>
      <c r="D260" s="120"/>
      <c r="E260" s="120"/>
      <c r="F260" s="121" t="s">
        <v>46</v>
      </c>
      <c r="G260" s="100" t="s">
        <v>134</v>
      </c>
      <c r="H260" s="100"/>
      <c r="I260" s="118" t="s">
        <v>48</v>
      </c>
      <c r="J260" s="119">
        <v>1</v>
      </c>
      <c r="K260" s="122" t="s">
        <v>49</v>
      </c>
      <c r="L260" s="123">
        <v>2</v>
      </c>
    </row>
    <row r="261" spans="1:12" ht="13" thickBot="1">
      <c r="A261" s="118" t="s">
        <v>50</v>
      </c>
      <c r="B261" s="119" t="s">
        <v>51</v>
      </c>
      <c r="C261" s="120"/>
      <c r="D261" s="120"/>
      <c r="E261" s="123"/>
      <c r="F261" s="118" t="s">
        <v>52</v>
      </c>
      <c r="G261" s="119"/>
      <c r="H261" s="120"/>
      <c r="I261" s="120"/>
      <c r="J261" s="117"/>
      <c r="K261" s="117"/>
      <c r="L261" s="124"/>
    </row>
    <row r="262" spans="1:12" ht="13" thickBot="1">
      <c r="A262" s="118" t="s">
        <v>53</v>
      </c>
      <c r="B262" s="119" t="s">
        <v>75</v>
      </c>
      <c r="C262" s="120"/>
      <c r="D262" s="120"/>
      <c r="E262" s="123"/>
      <c r="F262" s="118" t="s">
        <v>55</v>
      </c>
      <c r="G262" s="119"/>
      <c r="H262" s="120"/>
      <c r="I262" s="120"/>
      <c r="J262" s="120"/>
      <c r="K262" s="120"/>
      <c r="L262" s="123"/>
    </row>
    <row r="263" spans="1:12" ht="14.5">
      <c r="A263" s="307" t="s">
        <v>56</v>
      </c>
      <c r="B263" s="160" t="s">
        <v>135</v>
      </c>
      <c r="C263" s="98"/>
      <c r="D263" s="98"/>
      <c r="E263" s="98"/>
      <c r="F263" s="98"/>
      <c r="G263" s="98"/>
      <c r="H263" s="98"/>
      <c r="I263" s="98"/>
      <c r="J263" s="98"/>
      <c r="K263" s="98"/>
      <c r="L263" s="161"/>
    </row>
    <row r="264" spans="1:12" ht="14.5">
      <c r="A264" s="307"/>
      <c r="B264" s="160" t="s">
        <v>136</v>
      </c>
      <c r="L264" s="151"/>
    </row>
    <row r="265" spans="1:12" ht="13" thickBot="1">
      <c r="A265" s="307"/>
      <c r="B265" s="162"/>
      <c r="C265" s="163"/>
      <c r="D265" s="163"/>
      <c r="E265" s="163"/>
      <c r="F265" s="163"/>
      <c r="G265" s="163"/>
      <c r="H265" s="163"/>
      <c r="I265" s="163"/>
      <c r="J265" s="163"/>
      <c r="K265" s="163"/>
      <c r="L265" s="164"/>
    </row>
    <row r="267" spans="1:12" ht="13">
      <c r="A267" s="136" t="s">
        <v>137</v>
      </c>
    </row>
    <row r="268" spans="1:12" ht="13">
      <c r="A268" s="136" t="s">
        <v>138</v>
      </c>
    </row>
  </sheetData>
  <mergeCells count="7">
    <mergeCell ref="A108:A110"/>
    <mergeCell ref="A160:A162"/>
    <mergeCell ref="A212:A214"/>
    <mergeCell ref="A263:A265"/>
    <mergeCell ref="C243:G243"/>
    <mergeCell ref="C247:G247"/>
    <mergeCell ref="F256:F257"/>
  </mergeCells>
  <hyperlinks>
    <hyperlink ref="B263" r:id="rId1" display="https://ansyshelp.ansys.com/public/account/secured?returnurl=/Views/Secured/corp/v242/en/flu_tg/flu_tg_oneram6_wing.html" xr:uid="{00000000-0004-0000-0000-000000000000}"/>
    <hyperlink ref="B264" r:id="rId2" xr:uid="{00000000-0004-0000-0000-000001000000}"/>
  </hyperlinks>
  <pageMargins left="0.25" right="0.25" top="0.75" bottom="0.75" header="0.3" footer="0.3"/>
  <pageSetup paperSize="9" orientation="portrait" r:id="rId3"/>
  <headerFooter>
    <oddHeader xml:space="preserve">&amp;L&amp;G DYNX - High Power Rocketry Team&amp;CManual for Aerodynamics and Stability 
analysis &amp;R22/12/2024 rev. 1
</oddHeader>
    <oddFooter>&amp;CPage &amp;P</oddFooter>
  </headerFooter>
  <rowBreaks count="1" manualBreakCount="1">
    <brk id="259" max="16383" man="1"/>
  </rowBreaks>
  <customProperties>
    <customPr name="DynardoMOPSolver" r:id="rId4"/>
  </customProperties>
  <drawing r:id="rId5"/>
  <legacyDrawing r:id="rId6"/>
  <legacyDrawingHF r:id="rId7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0000000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'Manual rev.1'!D256:D257</xm:f>
              <xm:sqref>H259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G92"/>
  <sheetViews>
    <sheetView topLeftCell="A61" zoomScale="75" workbookViewId="0">
      <selection activeCell="G87" sqref="G87"/>
    </sheetView>
  </sheetViews>
  <sheetFormatPr defaultColWidth="9.08984375" defaultRowHeight="14.5"/>
  <cols>
    <col min="1" max="1" width="13" customWidth="1"/>
    <col min="2" max="2" width="11.08984375" customWidth="1"/>
  </cols>
  <sheetData>
    <row r="2" spans="1:5" ht="29">
      <c r="A2" s="189" t="s">
        <v>394</v>
      </c>
    </row>
    <row r="4" spans="1:5">
      <c r="A4" s="188" t="s">
        <v>395</v>
      </c>
    </row>
    <row r="5" spans="1:5">
      <c r="B5" s="363"/>
      <c r="C5" s="363"/>
      <c r="D5" s="363"/>
      <c r="E5" s="363"/>
    </row>
    <row r="6" spans="1:5">
      <c r="A6" t="s">
        <v>396</v>
      </c>
      <c r="B6">
        <v>1.5</v>
      </c>
      <c r="C6">
        <v>3</v>
      </c>
      <c r="D6">
        <v>5</v>
      </c>
      <c r="E6">
        <v>7</v>
      </c>
    </row>
    <row r="7" spans="1:5">
      <c r="A7">
        <v>0</v>
      </c>
      <c r="B7">
        <v>2</v>
      </c>
      <c r="C7">
        <v>2</v>
      </c>
      <c r="D7">
        <v>2</v>
      </c>
      <c r="E7">
        <v>2</v>
      </c>
    </row>
    <row r="8" spans="1:5">
      <c r="A8">
        <v>0.3</v>
      </c>
      <c r="B8">
        <v>2.0099999999999998</v>
      </c>
      <c r="C8">
        <v>2.0099999999999998</v>
      </c>
      <c r="D8">
        <v>2.0099999999999998</v>
      </c>
      <c r="E8">
        <v>2.0099999999999998</v>
      </c>
    </row>
    <row r="9" spans="1:5">
      <c r="A9">
        <v>0.4</v>
      </c>
      <c r="B9">
        <v>2.02</v>
      </c>
      <c r="C9">
        <v>2.02</v>
      </c>
      <c r="D9">
        <v>2.02</v>
      </c>
      <c r="E9">
        <v>2.02</v>
      </c>
    </row>
    <row r="10" spans="1:5">
      <c r="A10">
        <v>0.5</v>
      </c>
      <c r="B10">
        <v>2.0299999999999998</v>
      </c>
      <c r="C10">
        <v>2.0299999999999998</v>
      </c>
      <c r="D10">
        <v>2.0299999999999998</v>
      </c>
      <c r="E10">
        <v>2.0299999999999998</v>
      </c>
    </row>
    <row r="11" spans="1:5">
      <c r="A11">
        <v>0.6</v>
      </c>
      <c r="B11">
        <v>2.0499999999999998</v>
      </c>
      <c r="C11">
        <v>2.0499999999999998</v>
      </c>
      <c r="D11">
        <v>2.0499999999999998</v>
      </c>
      <c r="E11">
        <v>2.0499999999999998</v>
      </c>
    </row>
    <row r="12" spans="1:5">
      <c r="A12">
        <v>0.7</v>
      </c>
      <c r="B12">
        <v>2.06</v>
      </c>
      <c r="C12">
        <v>2.06</v>
      </c>
      <c r="D12">
        <v>2.06</v>
      </c>
      <c r="E12">
        <v>2.06</v>
      </c>
    </row>
    <row r="13" spans="1:5">
      <c r="A13">
        <v>0.8</v>
      </c>
      <c r="B13">
        <v>2.1</v>
      </c>
      <c r="C13">
        <v>2.1</v>
      </c>
      <c r="D13">
        <v>2.1</v>
      </c>
      <c r="E13">
        <v>2.1</v>
      </c>
    </row>
    <row r="14" spans="1:5">
      <c r="A14">
        <v>0.9</v>
      </c>
      <c r="B14">
        <v>2.16</v>
      </c>
      <c r="C14">
        <v>2.16</v>
      </c>
      <c r="D14">
        <v>2.16</v>
      </c>
      <c r="E14">
        <v>2.16</v>
      </c>
    </row>
    <row r="15" spans="1:5">
      <c r="A15">
        <v>1</v>
      </c>
      <c r="B15">
        <v>2.2999999999999998</v>
      </c>
      <c r="C15">
        <v>2.2999999999999998</v>
      </c>
      <c r="D15">
        <v>2.2999999999999998</v>
      </c>
      <c r="E15">
        <v>2.2999999999999998</v>
      </c>
    </row>
    <row r="16" spans="1:5">
      <c r="A16">
        <v>1.05</v>
      </c>
      <c r="B16">
        <v>2.36</v>
      </c>
      <c r="C16">
        <v>2.36</v>
      </c>
      <c r="D16">
        <v>2.36</v>
      </c>
      <c r="E16">
        <v>2.36</v>
      </c>
    </row>
    <row r="17" spans="1:5">
      <c r="A17">
        <v>1.1000000000000001</v>
      </c>
      <c r="B17">
        <v>2.4</v>
      </c>
      <c r="C17">
        <v>2.4</v>
      </c>
      <c r="D17">
        <v>2.4</v>
      </c>
      <c r="E17">
        <v>2.4</v>
      </c>
    </row>
    <row r="18" spans="1:5">
      <c r="A18">
        <v>1.1499999999999999</v>
      </c>
      <c r="B18">
        <v>2.38</v>
      </c>
      <c r="C18">
        <v>2.37</v>
      </c>
      <c r="D18">
        <v>2.37</v>
      </c>
      <c r="E18">
        <v>2.38</v>
      </c>
    </row>
    <row r="19" spans="1:5">
      <c r="A19">
        <v>1.2</v>
      </c>
      <c r="B19">
        <v>2.37</v>
      </c>
      <c r="C19">
        <v>2.3199999999999998</v>
      </c>
      <c r="D19">
        <v>2.2999999999999998</v>
      </c>
      <c r="E19">
        <v>2.2999999999999998</v>
      </c>
    </row>
    <row r="20" spans="1:5">
      <c r="A20">
        <v>1.3</v>
      </c>
      <c r="B20">
        <v>2.35</v>
      </c>
      <c r="C20">
        <v>2.27</v>
      </c>
      <c r="D20">
        <v>2.21</v>
      </c>
      <c r="E20">
        <v>2.21</v>
      </c>
    </row>
    <row r="21" spans="1:5">
      <c r="A21">
        <v>1.4</v>
      </c>
      <c r="B21">
        <v>2.35</v>
      </c>
      <c r="C21">
        <v>2.25</v>
      </c>
      <c r="D21">
        <v>2.16</v>
      </c>
      <c r="E21">
        <v>2.13</v>
      </c>
    </row>
    <row r="22" spans="1:5">
      <c r="A22">
        <v>1.5</v>
      </c>
      <c r="B22">
        <v>2.35</v>
      </c>
      <c r="C22">
        <v>2.2400000000000002</v>
      </c>
      <c r="D22">
        <v>2.12</v>
      </c>
      <c r="E22">
        <v>2.08</v>
      </c>
    </row>
    <row r="23" spans="1:5">
      <c r="A23">
        <v>1.75</v>
      </c>
      <c r="B23">
        <v>2.37</v>
      </c>
      <c r="C23">
        <v>2.2599999999999998</v>
      </c>
      <c r="D23">
        <v>2.08</v>
      </c>
      <c r="E23">
        <v>2.0299999999999998</v>
      </c>
    </row>
    <row r="24" spans="1:5">
      <c r="A24">
        <v>2</v>
      </c>
      <c r="B24">
        <v>2.4</v>
      </c>
      <c r="C24">
        <v>2.31</v>
      </c>
      <c r="D24">
        <v>2.08</v>
      </c>
      <c r="E24">
        <v>2.0099999999999998</v>
      </c>
    </row>
    <row r="25" spans="1:5">
      <c r="A25">
        <v>2.25</v>
      </c>
      <c r="B25">
        <v>2.42</v>
      </c>
      <c r="C25">
        <v>2.36</v>
      </c>
      <c r="D25">
        <v>2.12</v>
      </c>
      <c r="E25">
        <v>2.0299999999999998</v>
      </c>
    </row>
    <row r="26" spans="1:5">
      <c r="A26">
        <v>2.5</v>
      </c>
      <c r="B26">
        <v>2.4500000000000002</v>
      </c>
      <c r="C26">
        <v>2.4</v>
      </c>
      <c r="D26">
        <v>2.15</v>
      </c>
      <c r="E26">
        <v>2.06</v>
      </c>
    </row>
    <row r="27" spans="1:5">
      <c r="A27">
        <v>3</v>
      </c>
      <c r="B27">
        <v>2.48</v>
      </c>
      <c r="C27">
        <v>2.4900000000000002</v>
      </c>
      <c r="D27">
        <v>2.2200000000000002</v>
      </c>
      <c r="E27">
        <v>2.1</v>
      </c>
    </row>
    <row r="28" spans="1:5">
      <c r="A28">
        <v>3.5</v>
      </c>
      <c r="B28">
        <v>2.5099999999999998</v>
      </c>
      <c r="C28">
        <v>2.57</v>
      </c>
      <c r="D28">
        <v>2.2799999999999998</v>
      </c>
      <c r="E28">
        <v>2.14</v>
      </c>
    </row>
    <row r="29" spans="1:5">
      <c r="A29">
        <v>4</v>
      </c>
      <c r="B29">
        <v>2.5299999999999998</v>
      </c>
      <c r="C29">
        <v>2.63</v>
      </c>
      <c r="D29">
        <v>2.34</v>
      </c>
      <c r="E29">
        <v>2.1800000000000002</v>
      </c>
    </row>
    <row r="30" spans="1:5">
      <c r="A30">
        <v>4.5</v>
      </c>
      <c r="B30">
        <v>2.56</v>
      </c>
      <c r="C30">
        <v>2.67</v>
      </c>
      <c r="D30">
        <v>2.39</v>
      </c>
      <c r="E30">
        <v>2.21</v>
      </c>
    </row>
    <row r="31" spans="1:5">
      <c r="A31">
        <v>5</v>
      </c>
      <c r="B31">
        <v>2.57</v>
      </c>
      <c r="C31">
        <v>2.7</v>
      </c>
      <c r="D31">
        <v>2.4300000000000002</v>
      </c>
      <c r="E31">
        <v>2.2400000000000002</v>
      </c>
    </row>
    <row r="33" spans="1:7">
      <c r="A33" s="188" t="s">
        <v>80</v>
      </c>
    </row>
    <row r="34" spans="1:7">
      <c r="B34" t="s">
        <v>397</v>
      </c>
    </row>
    <row r="35" spans="1:7">
      <c r="A35" t="s">
        <v>396</v>
      </c>
      <c r="B35">
        <v>1.5</v>
      </c>
      <c r="C35">
        <v>2</v>
      </c>
      <c r="D35">
        <v>3</v>
      </c>
      <c r="E35">
        <v>5</v>
      </c>
      <c r="F35">
        <v>6</v>
      </c>
      <c r="G35">
        <v>7</v>
      </c>
    </row>
    <row r="36" spans="1:7">
      <c r="A36">
        <v>0</v>
      </c>
      <c r="B36">
        <v>0.46600000000000003</v>
      </c>
      <c r="C36">
        <v>0.46600000000000003</v>
      </c>
      <c r="D36">
        <v>0.46600000000000003</v>
      </c>
      <c r="E36">
        <v>0.46600000000000003</v>
      </c>
      <c r="F36">
        <v>0.46600000000000003</v>
      </c>
      <c r="G36">
        <v>0.46600000000000003</v>
      </c>
    </row>
    <row r="37" spans="1:7">
      <c r="A37">
        <v>1</v>
      </c>
      <c r="B37">
        <v>0.46600000000000003</v>
      </c>
      <c r="C37">
        <v>0.46600000000000003</v>
      </c>
      <c r="D37">
        <v>0.46600000000000003</v>
      </c>
      <c r="E37">
        <v>0.46600000000000003</v>
      </c>
      <c r="F37">
        <v>0.46600000000000003</v>
      </c>
      <c r="G37">
        <v>0.46600000000000003</v>
      </c>
    </row>
    <row r="38" spans="1:7">
      <c r="A38">
        <v>2</v>
      </c>
      <c r="B38">
        <v>0.75</v>
      </c>
      <c r="C38">
        <v>1.02</v>
      </c>
      <c r="D38">
        <v>1.59</v>
      </c>
      <c r="E38">
        <v>2.1</v>
      </c>
      <c r="F38">
        <v>3.02</v>
      </c>
      <c r="G38">
        <v>3.35</v>
      </c>
    </row>
    <row r="39" spans="1:7">
      <c r="A39">
        <v>3</v>
      </c>
      <c r="B39">
        <v>0.93</v>
      </c>
      <c r="C39">
        <v>1.25</v>
      </c>
      <c r="D39">
        <v>1.84</v>
      </c>
      <c r="E39">
        <v>2.4</v>
      </c>
      <c r="F39">
        <v>3.23</v>
      </c>
      <c r="G39">
        <v>3.43</v>
      </c>
    </row>
    <row r="40" spans="1:7">
      <c r="A40">
        <v>4</v>
      </c>
      <c r="B40">
        <v>1.2</v>
      </c>
      <c r="C40">
        <v>1.52</v>
      </c>
      <c r="D40">
        <v>2.08</v>
      </c>
      <c r="E40">
        <v>2.6</v>
      </c>
      <c r="F40">
        <v>3.43</v>
      </c>
      <c r="G40">
        <v>3.74</v>
      </c>
    </row>
    <row r="41" spans="1:7">
      <c r="A41">
        <v>5</v>
      </c>
      <c r="B41">
        <v>1.35</v>
      </c>
      <c r="C41">
        <v>1.62</v>
      </c>
      <c r="D41">
        <v>2.12</v>
      </c>
      <c r="E41">
        <v>2.6</v>
      </c>
      <c r="F41">
        <v>3.43</v>
      </c>
      <c r="G41">
        <v>3.74</v>
      </c>
    </row>
    <row r="43" spans="1:7">
      <c r="A43" t="s">
        <v>398</v>
      </c>
      <c r="B43">
        <f>1.5*B44</f>
        <v>7.5</v>
      </c>
    </row>
    <row r="44" spans="1:7">
      <c r="A44" t="s">
        <v>399</v>
      </c>
      <c r="B44">
        <v>5</v>
      </c>
      <c r="C44" t="s">
        <v>203</v>
      </c>
    </row>
    <row r="45" spans="1:7">
      <c r="B45">
        <f>B37*B35</f>
        <v>0.69900000000000007</v>
      </c>
      <c r="C45" t="s">
        <v>400</v>
      </c>
    </row>
    <row r="46" spans="1:7">
      <c r="B46">
        <f>B45*B44</f>
        <v>3.4950000000000001</v>
      </c>
      <c r="C46" t="s">
        <v>203</v>
      </c>
    </row>
    <row r="50" spans="1:3" ht="29">
      <c r="A50" s="189" t="s">
        <v>401</v>
      </c>
    </row>
    <row r="58" spans="1:3">
      <c r="A58" t="s">
        <v>402</v>
      </c>
    </row>
    <row r="59" spans="1:3">
      <c r="A59" t="s">
        <v>84</v>
      </c>
      <c r="B59" t="s">
        <v>403</v>
      </c>
      <c r="C59" t="s">
        <v>404</v>
      </c>
    </row>
    <row r="60" spans="1:3">
      <c r="A60">
        <v>0</v>
      </c>
      <c r="B60">
        <v>0</v>
      </c>
      <c r="C60" s="99">
        <v>1E-3</v>
      </c>
    </row>
    <row r="61" spans="1:3">
      <c r="A61">
        <v>5</v>
      </c>
      <c r="B61">
        <v>5.0000000000000001E-3</v>
      </c>
      <c r="C61" s="99">
        <f t="shared" ref="C61:C66" si="0">(B61-B60)/(A61)</f>
        <v>1E-3</v>
      </c>
    </row>
    <row r="62" spans="1:3">
      <c r="A62">
        <v>10</v>
      </c>
      <c r="B62">
        <v>1.4999999999999999E-2</v>
      </c>
      <c r="C62" s="99">
        <f t="shared" si="0"/>
        <v>9.999999999999998E-4</v>
      </c>
    </row>
    <row r="63" spans="1:3">
      <c r="A63">
        <v>15</v>
      </c>
      <c r="B63">
        <v>3.5000000000000003E-2</v>
      </c>
      <c r="C63" s="99">
        <f t="shared" si="0"/>
        <v>1.3333333333333335E-3</v>
      </c>
    </row>
    <row r="64" spans="1:3">
      <c r="A64">
        <v>20</v>
      </c>
      <c r="B64">
        <v>6.5000000000000002E-2</v>
      </c>
      <c r="C64" s="99">
        <f t="shared" si="0"/>
        <v>1.5E-3</v>
      </c>
    </row>
    <row r="65" spans="1:3">
      <c r="A65">
        <v>25</v>
      </c>
      <c r="B65">
        <v>0.11</v>
      </c>
      <c r="C65" s="99">
        <f t="shared" si="0"/>
        <v>1.8E-3</v>
      </c>
    </row>
    <row r="66" spans="1:3">
      <c r="A66">
        <v>30</v>
      </c>
      <c r="B66">
        <v>0.17499999999999999</v>
      </c>
      <c r="C66" s="99">
        <f t="shared" si="0"/>
        <v>2.1666666666666661E-3</v>
      </c>
    </row>
    <row r="67" spans="1:3">
      <c r="B67" t="s">
        <v>405</v>
      </c>
      <c r="C67" s="99">
        <f>AVERAGE(C60:C66)</f>
        <v>1.3999999999999998E-3</v>
      </c>
    </row>
    <row r="69" spans="1:3">
      <c r="A69" t="s">
        <v>406</v>
      </c>
    </row>
    <row r="70" spans="1:3">
      <c r="A70" t="s">
        <v>407</v>
      </c>
      <c r="B70" t="s">
        <v>408</v>
      </c>
    </row>
    <row r="71" spans="1:3">
      <c r="A71">
        <v>0</v>
      </c>
      <c r="B71">
        <v>6.3E-2</v>
      </c>
    </row>
    <row r="72" spans="1:3">
      <c r="A72">
        <v>0.5</v>
      </c>
      <c r="B72">
        <v>6.8000000000000005E-2</v>
      </c>
    </row>
    <row r="73" spans="1:3">
      <c r="A73">
        <v>0.7</v>
      </c>
      <c r="B73">
        <v>6.9000000000000006E-2</v>
      </c>
    </row>
    <row r="74" spans="1:3">
      <c r="A74">
        <v>0.8</v>
      </c>
      <c r="B74">
        <v>6.9000000000000006E-2</v>
      </c>
    </row>
    <row r="75" spans="1:3">
      <c r="A75">
        <v>0.9</v>
      </c>
      <c r="B75">
        <v>6.7000000000000004E-2</v>
      </c>
    </row>
    <row r="76" spans="1:3">
      <c r="A76">
        <v>1</v>
      </c>
      <c r="B76">
        <v>6.6000000000000003E-2</v>
      </c>
    </row>
    <row r="77" spans="1:3">
      <c r="A77">
        <v>1.2</v>
      </c>
      <c r="B77">
        <v>6.3E-2</v>
      </c>
    </row>
    <row r="78" spans="1:3">
      <c r="A78">
        <v>1.5</v>
      </c>
      <c r="B78">
        <v>5.7000000000000002E-2</v>
      </c>
    </row>
    <row r="79" spans="1:3">
      <c r="A79">
        <v>2</v>
      </c>
      <c r="B79">
        <v>0.06</v>
      </c>
    </row>
    <row r="80" spans="1:3">
      <c r="A80">
        <v>2.5</v>
      </c>
      <c r="B80">
        <v>6.6000000000000003E-2</v>
      </c>
    </row>
    <row r="81" spans="1:2">
      <c r="A81">
        <v>3</v>
      </c>
      <c r="B81">
        <v>7.6999999999999999E-2</v>
      </c>
    </row>
    <row r="82" spans="1:2">
      <c r="A82">
        <v>3.5</v>
      </c>
      <c r="B82">
        <v>9.1999999999999998E-2</v>
      </c>
    </row>
    <row r="83" spans="1:2">
      <c r="A83">
        <v>4</v>
      </c>
      <c r="B83">
        <v>0.115</v>
      </c>
    </row>
    <row r="85" spans="1:2">
      <c r="A85" t="s">
        <v>409</v>
      </c>
      <c r="B85" t="s">
        <v>410</v>
      </c>
    </row>
    <row r="89" spans="1:2">
      <c r="A89" t="s">
        <v>411</v>
      </c>
      <c r="B89" t="s">
        <v>412</v>
      </c>
    </row>
    <row r="90" spans="1:2">
      <c r="A90" t="s">
        <v>413</v>
      </c>
      <c r="B90" t="s">
        <v>414</v>
      </c>
    </row>
    <row r="91" spans="1:2">
      <c r="A91" t="s">
        <v>415</v>
      </c>
      <c r="B91" t="s">
        <v>416</v>
      </c>
    </row>
    <row r="92" spans="1:2">
      <c r="A92" t="s">
        <v>417</v>
      </c>
      <c r="B92" t="s">
        <v>418</v>
      </c>
    </row>
  </sheetData>
  <mergeCells count="1">
    <mergeCell ref="B5:E5"/>
  </mergeCells>
  <pageMargins left="0.7" right="0.7" top="0.75" bottom="0.75" header="0.3" footer="0.3"/>
  <pageSetup orientation="portrait" r:id="rId1"/>
  <customProperties>
    <customPr name="DynardoMOPSolver" r:id="rId2"/>
  </customPropertie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30"/>
  <sheetViews>
    <sheetView zoomScale="70" zoomScaleNormal="70" workbookViewId="0">
      <selection activeCell="N27" sqref="N27"/>
    </sheetView>
  </sheetViews>
  <sheetFormatPr defaultColWidth="9.08984375" defaultRowHeight="14.5"/>
  <cols>
    <col min="1" max="1" width="30.90625" bestFit="1" customWidth="1"/>
    <col min="3" max="3" width="74" bestFit="1" customWidth="1"/>
    <col min="4" max="4" width="49.36328125" bestFit="1" customWidth="1"/>
  </cols>
  <sheetData>
    <row r="1" spans="1:4">
      <c r="A1" t="s">
        <v>419</v>
      </c>
      <c r="B1" t="s">
        <v>420</v>
      </c>
      <c r="C1">
        <v>18</v>
      </c>
    </row>
    <row r="2" spans="1:4" ht="15" thickBot="1">
      <c r="B2" t="s">
        <v>421</v>
      </c>
      <c r="C2" t="s">
        <v>422</v>
      </c>
      <c r="D2" t="s">
        <v>423</v>
      </c>
    </row>
    <row r="3" spans="1:4">
      <c r="A3" s="195" t="s">
        <v>333</v>
      </c>
      <c r="B3" s="196" t="s">
        <v>424</v>
      </c>
      <c r="C3" s="196" t="s">
        <v>425</v>
      </c>
      <c r="D3" s="197" t="s">
        <v>426</v>
      </c>
    </row>
    <row r="4" spans="1:4" ht="15" thickBot="1">
      <c r="A4" s="198"/>
      <c r="B4" s="199" t="s">
        <v>427</v>
      </c>
      <c r="C4" s="199" t="s">
        <v>428</v>
      </c>
      <c r="D4" s="200" t="s">
        <v>429</v>
      </c>
    </row>
    <row r="5" spans="1:4">
      <c r="A5" s="195"/>
      <c r="B5" s="196" t="s">
        <v>430</v>
      </c>
      <c r="C5" s="196" t="s">
        <v>431</v>
      </c>
      <c r="D5" s="197" t="s">
        <v>432</v>
      </c>
    </row>
    <row r="6" spans="1:4">
      <c r="A6" s="201" t="s">
        <v>433</v>
      </c>
      <c r="B6" t="s">
        <v>434</v>
      </c>
      <c r="C6" t="s">
        <v>435</v>
      </c>
      <c r="D6" s="202" t="s">
        <v>436</v>
      </c>
    </row>
    <row r="7" spans="1:4" ht="15" thickBot="1">
      <c r="A7" s="198"/>
      <c r="B7" s="199" t="s">
        <v>437</v>
      </c>
      <c r="C7" s="199" t="s">
        <v>438</v>
      </c>
      <c r="D7" s="200" t="s">
        <v>439</v>
      </c>
    </row>
    <row r="8" spans="1:4">
      <c r="A8" s="195"/>
      <c r="B8" s="196" t="s">
        <v>440</v>
      </c>
      <c r="C8" s="196" t="s">
        <v>441</v>
      </c>
      <c r="D8" s="197" t="s">
        <v>442</v>
      </c>
    </row>
    <row r="9" spans="1:4">
      <c r="A9" s="201" t="s">
        <v>443</v>
      </c>
      <c r="B9" t="s">
        <v>444</v>
      </c>
      <c r="C9" t="s">
        <v>445</v>
      </c>
      <c r="D9" s="202" t="s">
        <v>446</v>
      </c>
    </row>
    <row r="10" spans="1:4" ht="15" thickBot="1">
      <c r="A10" s="198"/>
      <c r="B10" s="199" t="s">
        <v>447</v>
      </c>
      <c r="C10" s="199" t="s">
        <v>448</v>
      </c>
      <c r="D10" s="200" t="s">
        <v>449</v>
      </c>
    </row>
    <row r="11" spans="1:4">
      <c r="A11" s="195"/>
      <c r="B11" s="196" t="s">
        <v>450</v>
      </c>
      <c r="C11" s="196" t="s">
        <v>451</v>
      </c>
      <c r="D11" s="197" t="s">
        <v>452</v>
      </c>
    </row>
    <row r="12" spans="1:4">
      <c r="A12" s="201" t="s">
        <v>453</v>
      </c>
      <c r="B12" t="s">
        <v>454</v>
      </c>
      <c r="C12" t="s">
        <v>455</v>
      </c>
      <c r="D12" s="202" t="s">
        <v>456</v>
      </c>
    </row>
    <row r="13" spans="1:4" ht="15" thickBot="1">
      <c r="A13" s="198"/>
      <c r="B13" s="199" t="s">
        <v>457</v>
      </c>
      <c r="C13" s="199" t="s">
        <v>458</v>
      </c>
      <c r="D13" s="200" t="s">
        <v>459</v>
      </c>
    </row>
    <row r="14" spans="1:4">
      <c r="A14" s="195"/>
      <c r="B14" s="196" t="s">
        <v>460</v>
      </c>
      <c r="C14" s="196" t="s">
        <v>461</v>
      </c>
      <c r="D14" s="197" t="s">
        <v>462</v>
      </c>
    </row>
    <row r="15" spans="1:4">
      <c r="A15" s="201" t="s">
        <v>463</v>
      </c>
      <c r="B15" t="s">
        <v>464</v>
      </c>
      <c r="C15" t="s">
        <v>465</v>
      </c>
      <c r="D15" s="202" t="s">
        <v>466</v>
      </c>
    </row>
    <row r="16" spans="1:4" ht="15" thickBot="1">
      <c r="A16" s="198"/>
      <c r="B16" s="199" t="s">
        <v>467</v>
      </c>
      <c r="C16" s="199" t="s">
        <v>468</v>
      </c>
      <c r="D16" s="200" t="s">
        <v>469</v>
      </c>
    </row>
    <row r="17" spans="1:11">
      <c r="A17" s="195"/>
      <c r="B17" s="196" t="s">
        <v>470</v>
      </c>
      <c r="C17" s="196" t="s">
        <v>471</v>
      </c>
      <c r="D17" s="197" t="s">
        <v>472</v>
      </c>
      <c r="K17">
        <f>DEGREES(ATAN(1/20))</f>
        <v>2.8624052261117479</v>
      </c>
    </row>
    <row r="18" spans="1:11">
      <c r="A18" s="201" t="s">
        <v>473</v>
      </c>
      <c r="B18" t="s">
        <v>474</v>
      </c>
      <c r="C18" t="s">
        <v>475</v>
      </c>
      <c r="D18" s="202" t="s">
        <v>476</v>
      </c>
    </row>
    <row r="19" spans="1:11" ht="15" thickBot="1">
      <c r="A19" s="198"/>
      <c r="B19" s="199" t="s">
        <v>477</v>
      </c>
      <c r="C19" s="199" t="s">
        <v>478</v>
      </c>
      <c r="D19" s="200" t="s">
        <v>479</v>
      </c>
    </row>
    <row r="20" spans="1:11">
      <c r="A20" s="195"/>
      <c r="B20" s="196" t="s">
        <v>480</v>
      </c>
      <c r="C20" s="196" t="s">
        <v>481</v>
      </c>
      <c r="D20" s="197" t="s">
        <v>482</v>
      </c>
    </row>
    <row r="21" spans="1:11">
      <c r="A21" s="201" t="s">
        <v>483</v>
      </c>
      <c r="B21" t="s">
        <v>484</v>
      </c>
      <c r="C21" t="s">
        <v>485</v>
      </c>
      <c r="D21" s="202" t="s">
        <v>486</v>
      </c>
    </row>
    <row r="22" spans="1:11" ht="15" thickBot="1">
      <c r="A22" s="198"/>
      <c r="B22" s="199" t="s">
        <v>487</v>
      </c>
      <c r="C22" s="199" t="s">
        <v>488</v>
      </c>
      <c r="D22" s="200" t="s">
        <v>489</v>
      </c>
    </row>
    <row r="24" spans="1:11">
      <c r="A24" t="s">
        <v>490</v>
      </c>
    </row>
    <row r="25" spans="1:11">
      <c r="A25" t="s">
        <v>193</v>
      </c>
    </row>
    <row r="26" spans="1:11">
      <c r="A26" t="s">
        <v>194</v>
      </c>
    </row>
    <row r="27" spans="1:11">
      <c r="A27" t="s">
        <v>491</v>
      </c>
    </row>
    <row r="28" spans="1:11">
      <c r="A28" t="s">
        <v>492</v>
      </c>
    </row>
    <row r="29" spans="1:11">
      <c r="A29" t="s">
        <v>493</v>
      </c>
    </row>
    <row r="30" spans="1:11">
      <c r="A30" t="s">
        <v>494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"/>
  <sheetViews>
    <sheetView workbookViewId="0"/>
  </sheetViews>
  <sheetFormatPr defaultColWidth="9.08984375" defaultRowHeight="14.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"/>
  <sheetViews>
    <sheetView workbookViewId="0"/>
  </sheetViews>
  <sheetFormatPr defaultColWidth="9.08984375" defaultRowHeight="14.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"/>
  <sheetViews>
    <sheetView workbookViewId="0">
      <selection activeCell="K28" sqref="K28"/>
    </sheetView>
  </sheetViews>
  <sheetFormatPr defaultColWidth="9.08984375" defaultRowHeight="14.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"/>
  <sheetViews>
    <sheetView workbookViewId="0">
      <selection activeCell="O22" sqref="O22"/>
    </sheetView>
  </sheetViews>
  <sheetFormatPr defaultColWidth="9.08984375"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9"/>
  <sheetViews>
    <sheetView workbookViewId="0">
      <selection activeCell="G12" sqref="G12"/>
    </sheetView>
  </sheetViews>
  <sheetFormatPr defaultColWidth="15.36328125" defaultRowHeight="14.5"/>
  <cols>
    <col min="1" max="1" width="24.26953125" customWidth="1"/>
    <col min="7" max="7" width="9.08984375" bestFit="1" customWidth="1"/>
    <col min="8" max="8" width="20.08984375" customWidth="1"/>
  </cols>
  <sheetData>
    <row r="1" spans="1:27" ht="43" customHeight="1">
      <c r="A1" s="205" t="s">
        <v>139</v>
      </c>
      <c r="B1" s="216" t="s">
        <v>140</v>
      </c>
      <c r="C1" s="219" t="s">
        <v>141</v>
      </c>
      <c r="D1" s="222" t="s">
        <v>142</v>
      </c>
      <c r="E1" s="225" t="s">
        <v>143</v>
      </c>
      <c r="F1" s="230" t="s">
        <v>144</v>
      </c>
      <c r="G1" s="210" t="s">
        <v>145</v>
      </c>
      <c r="H1" s="211" t="s">
        <v>146</v>
      </c>
      <c r="I1" s="237" t="s">
        <v>147</v>
      </c>
      <c r="J1" s="238" t="s">
        <v>148</v>
      </c>
      <c r="K1" s="235" t="s">
        <v>149</v>
      </c>
      <c r="L1" s="239" t="s">
        <v>150</v>
      </c>
      <c r="M1" s="239" t="s">
        <v>151</v>
      </c>
      <c r="N1" s="239" t="s">
        <v>152</v>
      </c>
      <c r="O1" s="216" t="s">
        <v>153</v>
      </c>
      <c r="P1" s="219" t="s">
        <v>154</v>
      </c>
      <c r="Q1" s="222" t="s">
        <v>155</v>
      </c>
      <c r="R1" s="225" t="s">
        <v>156</v>
      </c>
      <c r="S1" s="230" t="s">
        <v>157</v>
      </c>
      <c r="T1" s="210" t="s">
        <v>158</v>
      </c>
      <c r="U1" s="211" t="s">
        <v>159</v>
      </c>
      <c r="V1" s="231" t="s">
        <v>160</v>
      </c>
      <c r="W1" s="233" t="s">
        <v>161</v>
      </c>
      <c r="X1" s="235" t="s">
        <v>162</v>
      </c>
      <c r="Y1" s="240" t="s">
        <v>163</v>
      </c>
      <c r="Z1" s="240" t="s">
        <v>164</v>
      </c>
      <c r="AA1" s="241" t="s">
        <v>165</v>
      </c>
    </row>
    <row r="2" spans="1:27" ht="14.5" customHeight="1">
      <c r="A2" s="206" t="s">
        <v>166</v>
      </c>
      <c r="B2" s="217">
        <v>2.5</v>
      </c>
      <c r="C2" s="220">
        <v>0</v>
      </c>
      <c r="D2" s="223">
        <v>2.38</v>
      </c>
      <c r="E2" s="226">
        <v>2.5</v>
      </c>
      <c r="F2" s="228">
        <v>2.5099999999999998</v>
      </c>
      <c r="G2" s="212">
        <v>0.81</v>
      </c>
      <c r="H2" s="213">
        <v>1.1000000000000001</v>
      </c>
      <c r="I2" s="242">
        <v>2.1</v>
      </c>
      <c r="J2" s="243">
        <v>2.8130000000000002</v>
      </c>
      <c r="K2" s="244">
        <v>1.5</v>
      </c>
      <c r="L2" s="245">
        <f>AVERAGE(B2,D2,E2,F2,G2,H2,I2,J2,K2)</f>
        <v>2.0236666666666667</v>
      </c>
      <c r="M2" s="245">
        <f>MODE(B2,D2,E2,F2,G2,H2,I2,J2,K2)</f>
        <v>2.5</v>
      </c>
      <c r="N2" s="245">
        <f>MEDIAN(B2,D2,E2,F2,G2,H2,I2,J2,K2)</f>
        <v>2.38</v>
      </c>
      <c r="O2" s="217">
        <f t="shared" ref="O2:O10" si="0">B2-L2</f>
        <v>0.47633333333333328</v>
      </c>
      <c r="P2" s="220">
        <f t="shared" ref="P2:P10" si="1">C2-L2</f>
        <v>-2.0236666666666667</v>
      </c>
      <c r="Q2" s="223">
        <f t="shared" ref="Q2:Q10" si="2">D2-L2</f>
        <v>0.35633333333333317</v>
      </c>
      <c r="R2" s="226">
        <f>E2-L2</f>
        <v>0.47633333333333328</v>
      </c>
      <c r="S2" s="228">
        <f t="shared" ref="S2:S10" si="3">F2-L2</f>
        <v>0.48633333333333306</v>
      </c>
      <c r="T2" s="212">
        <f t="shared" ref="T2:T10" si="4">G2-L2</f>
        <v>-1.2136666666666667</v>
      </c>
      <c r="U2" s="213">
        <f t="shared" ref="U2:U10" si="5">H2-L2</f>
        <v>-0.92366666666666664</v>
      </c>
      <c r="V2" s="232">
        <f t="shared" ref="V2:V10" si="6">I2-L2</f>
        <v>7.6333333333333364E-2</v>
      </c>
      <c r="W2" s="234">
        <f t="shared" ref="W2:W10" si="7">J2-L2</f>
        <v>0.78933333333333344</v>
      </c>
      <c r="X2" s="236">
        <f t="shared" ref="X2:X10" si="8">K2-L2</f>
        <v>-0.52366666666666672</v>
      </c>
      <c r="Y2" s="204">
        <f t="shared" ref="Y2:Y10" si="9">ABS(MIN(O2,P2,Q2,R2,S2,T2,U2,V2,W2,X2))</f>
        <v>2.0236666666666667</v>
      </c>
      <c r="Z2" s="204">
        <f t="shared" ref="Z2:Z10" si="10">MAX(O2,P2,Q2,R2,S2,T2,U2,V2,W2,X2)</f>
        <v>0.78933333333333344</v>
      </c>
      <c r="AA2" s="246">
        <f t="shared" ref="AA2:AA10" si="11">MAX(Y2,Z2)</f>
        <v>2.0236666666666667</v>
      </c>
    </row>
    <row r="3" spans="1:27" ht="14.5" customHeight="1">
      <c r="A3" s="206" t="s">
        <v>167</v>
      </c>
      <c r="B3" s="217">
        <v>13</v>
      </c>
      <c r="C3" s="220">
        <v>17.38</v>
      </c>
      <c r="D3" s="223">
        <v>26</v>
      </c>
      <c r="E3" s="226">
        <v>21</v>
      </c>
      <c r="F3" s="228">
        <v>21.6</v>
      </c>
      <c r="G3" s="212">
        <v>4.6760000000000002</v>
      </c>
      <c r="H3" s="213">
        <v>0.46200000000000002</v>
      </c>
      <c r="I3" s="242">
        <v>7</v>
      </c>
      <c r="J3" s="243">
        <v>33</v>
      </c>
      <c r="K3" s="244">
        <v>32</v>
      </c>
      <c r="L3" s="245">
        <f>AVERAGE(B3,C3,D3,E3,F3,G3,H3,I3,J3,K3)</f>
        <v>17.611799999999999</v>
      </c>
      <c r="M3" s="245" t="e">
        <f>MODE(B3,C3,D3,E3,F3,G3,H3,I3,J3,K3)</f>
        <v>#N/A</v>
      </c>
      <c r="N3" s="245">
        <f>MEDIAN(B3,C3,D3,E3,F3,G3,H3,I3,J3,K3)</f>
        <v>19.189999999999998</v>
      </c>
      <c r="O3" s="217">
        <f t="shared" si="0"/>
        <v>-4.6117999999999988</v>
      </c>
      <c r="P3" s="220">
        <f t="shared" si="1"/>
        <v>-0.23179999999999978</v>
      </c>
      <c r="Q3" s="223">
        <f t="shared" si="2"/>
        <v>8.3882000000000012</v>
      </c>
      <c r="R3" s="226">
        <f>J3-L3</f>
        <v>15.388200000000001</v>
      </c>
      <c r="S3" s="228">
        <f t="shared" si="3"/>
        <v>3.9882000000000026</v>
      </c>
      <c r="T3" s="212">
        <f t="shared" si="4"/>
        <v>-12.935799999999999</v>
      </c>
      <c r="U3" s="213">
        <f t="shared" si="5"/>
        <v>-17.149799999999999</v>
      </c>
      <c r="V3" s="232">
        <f t="shared" si="6"/>
        <v>-10.611799999999999</v>
      </c>
      <c r="W3" s="234">
        <f t="shared" si="7"/>
        <v>15.388200000000001</v>
      </c>
      <c r="X3" s="236">
        <f t="shared" si="8"/>
        <v>14.388200000000001</v>
      </c>
      <c r="Y3" s="204">
        <f t="shared" si="9"/>
        <v>17.149799999999999</v>
      </c>
      <c r="Z3" s="204">
        <f t="shared" si="10"/>
        <v>15.388200000000001</v>
      </c>
      <c r="AA3" s="246">
        <f t="shared" si="11"/>
        <v>17.149799999999999</v>
      </c>
    </row>
    <row r="4" spans="1:27" ht="14.5" customHeight="1">
      <c r="A4" s="206" t="s">
        <v>168</v>
      </c>
      <c r="B4" s="217">
        <v>13</v>
      </c>
      <c r="C4" s="220">
        <v>32.21</v>
      </c>
      <c r="D4" s="223">
        <v>26</v>
      </c>
      <c r="E4" s="226">
        <v>21</v>
      </c>
      <c r="F4" s="228">
        <v>21.6</v>
      </c>
      <c r="G4" s="212">
        <v>7.6319999999999997</v>
      </c>
      <c r="H4" s="213">
        <v>0.80700000000000005</v>
      </c>
      <c r="I4" s="242">
        <v>7</v>
      </c>
      <c r="J4" s="243">
        <v>38</v>
      </c>
      <c r="K4" s="244">
        <v>32</v>
      </c>
      <c r="L4" s="245">
        <f>AVERAGE(B4,C4,D4,E4,F4,G4,H4,I4,J4,K4)</f>
        <v>19.924900000000001</v>
      </c>
      <c r="M4" s="245" t="e">
        <f>MODE(B4,C4,D4,E4,F4,G4,H4,I4,J4,K4)</f>
        <v>#N/A</v>
      </c>
      <c r="N4" s="245">
        <f>MEDIAN(B4,C4,D4,E4,F4,G4,H4,I4,J4,K4)</f>
        <v>21.3</v>
      </c>
      <c r="O4" s="217">
        <f t="shared" si="0"/>
        <v>-6.9249000000000009</v>
      </c>
      <c r="P4" s="220">
        <f t="shared" si="1"/>
        <v>12.2851</v>
      </c>
      <c r="Q4" s="223">
        <f t="shared" si="2"/>
        <v>6.0750999999999991</v>
      </c>
      <c r="R4" s="226">
        <f>J4-L4</f>
        <v>18.075099999999999</v>
      </c>
      <c r="S4" s="228">
        <f t="shared" si="3"/>
        <v>1.6751000000000005</v>
      </c>
      <c r="T4" s="212">
        <f t="shared" si="4"/>
        <v>-12.292900000000001</v>
      </c>
      <c r="U4" s="213">
        <f t="shared" si="5"/>
        <v>-19.117900000000002</v>
      </c>
      <c r="V4" s="232">
        <f t="shared" si="6"/>
        <v>-12.924900000000001</v>
      </c>
      <c r="W4" s="234">
        <f t="shared" si="7"/>
        <v>18.075099999999999</v>
      </c>
      <c r="X4" s="236">
        <f t="shared" si="8"/>
        <v>12.075099999999999</v>
      </c>
      <c r="Y4" s="204">
        <f t="shared" si="9"/>
        <v>19.117900000000002</v>
      </c>
      <c r="Z4" s="204">
        <f t="shared" si="10"/>
        <v>18.075099999999999</v>
      </c>
      <c r="AA4" s="246">
        <f t="shared" si="11"/>
        <v>19.117900000000002</v>
      </c>
    </row>
    <row r="5" spans="1:27" ht="14.5" customHeight="1">
      <c r="A5" s="206" t="s">
        <v>169</v>
      </c>
      <c r="B5" s="217">
        <v>1.4</v>
      </c>
      <c r="C5" s="220">
        <v>4</v>
      </c>
      <c r="D5" s="223">
        <v>0</v>
      </c>
      <c r="E5" s="226">
        <v>0</v>
      </c>
      <c r="F5" s="228">
        <v>0</v>
      </c>
      <c r="G5" s="212">
        <v>0</v>
      </c>
      <c r="H5" s="213">
        <v>0</v>
      </c>
      <c r="I5" s="242">
        <v>0</v>
      </c>
      <c r="J5" s="243">
        <v>12.2</v>
      </c>
      <c r="K5" s="244">
        <v>1</v>
      </c>
      <c r="L5" s="245">
        <f>AVERAGE(B5,C5,J5,K5)</f>
        <v>4.6500000000000004</v>
      </c>
      <c r="M5" s="245" t="e">
        <f>MODE(B5,C5,J5,K5)</f>
        <v>#N/A</v>
      </c>
      <c r="N5" s="245">
        <f>MEDIAN(B5,C5,J5,K5)</f>
        <v>2.7</v>
      </c>
      <c r="O5" s="217">
        <f t="shared" si="0"/>
        <v>-3.2500000000000004</v>
      </c>
      <c r="P5" s="220">
        <f t="shared" si="1"/>
        <v>-0.65000000000000036</v>
      </c>
      <c r="Q5" s="223">
        <f t="shared" si="2"/>
        <v>-4.6500000000000004</v>
      </c>
      <c r="R5" s="226">
        <f>J5-L5</f>
        <v>7.5499999999999989</v>
      </c>
      <c r="S5" s="228">
        <f t="shared" si="3"/>
        <v>-4.6500000000000004</v>
      </c>
      <c r="T5" s="212">
        <f t="shared" si="4"/>
        <v>-4.6500000000000004</v>
      </c>
      <c r="U5" s="213">
        <f t="shared" si="5"/>
        <v>-4.6500000000000004</v>
      </c>
      <c r="V5" s="232">
        <f t="shared" si="6"/>
        <v>-4.6500000000000004</v>
      </c>
      <c r="W5" s="234">
        <f t="shared" si="7"/>
        <v>7.5499999999999989</v>
      </c>
      <c r="X5" s="236">
        <f t="shared" si="8"/>
        <v>-3.6500000000000004</v>
      </c>
      <c r="Y5" s="204">
        <f t="shared" si="9"/>
        <v>4.6500000000000004</v>
      </c>
      <c r="Z5" s="204">
        <f t="shared" si="10"/>
        <v>7.5499999999999989</v>
      </c>
      <c r="AA5" s="246">
        <f t="shared" si="11"/>
        <v>7.5499999999999989</v>
      </c>
    </row>
    <row r="6" spans="1:27" ht="14.5" customHeight="1">
      <c r="A6" s="207" t="s">
        <v>170</v>
      </c>
      <c r="B6" s="217">
        <v>2000</v>
      </c>
      <c r="C6" s="220">
        <v>20145.7</v>
      </c>
      <c r="D6" s="223">
        <v>0</v>
      </c>
      <c r="E6" s="226">
        <v>0</v>
      </c>
      <c r="F6" s="228">
        <v>0</v>
      </c>
      <c r="G6" s="212">
        <v>4356</v>
      </c>
      <c r="H6" s="213">
        <v>150</v>
      </c>
      <c r="I6" s="242">
        <v>0</v>
      </c>
      <c r="J6" s="243">
        <v>0</v>
      </c>
      <c r="K6" s="244">
        <v>0</v>
      </c>
      <c r="L6" s="245">
        <f>AVERAGE(B6,C6,G6,H6)</f>
        <v>6662.9250000000002</v>
      </c>
      <c r="M6" s="245" t="e">
        <f>MODE(B6,C6,G6,H6)</f>
        <v>#N/A</v>
      </c>
      <c r="N6" s="245">
        <f>MEDIAN(B6,C6,G6,H6)</f>
        <v>3178</v>
      </c>
      <c r="O6" s="217">
        <f t="shared" si="0"/>
        <v>-4662.9250000000002</v>
      </c>
      <c r="P6" s="220">
        <f t="shared" si="1"/>
        <v>13482.775000000001</v>
      </c>
      <c r="Q6" s="223">
        <f t="shared" si="2"/>
        <v>-6662.9250000000002</v>
      </c>
      <c r="R6" s="226">
        <f>J6-L6</f>
        <v>-6662.9250000000002</v>
      </c>
      <c r="S6" s="228">
        <f t="shared" si="3"/>
        <v>-6662.9250000000002</v>
      </c>
      <c r="T6" s="212">
        <f t="shared" si="4"/>
        <v>-2306.9250000000002</v>
      </c>
      <c r="U6" s="213">
        <f t="shared" si="5"/>
        <v>-6512.9250000000002</v>
      </c>
      <c r="V6" s="232">
        <f t="shared" si="6"/>
        <v>-6662.9250000000002</v>
      </c>
      <c r="W6" s="234">
        <f t="shared" si="7"/>
        <v>-6662.9250000000002</v>
      </c>
      <c r="X6" s="236">
        <f t="shared" si="8"/>
        <v>-6662.9250000000002</v>
      </c>
      <c r="Y6" s="204">
        <f t="shared" si="9"/>
        <v>6662.9250000000002</v>
      </c>
      <c r="Z6" s="204">
        <f t="shared" si="10"/>
        <v>13482.775000000001</v>
      </c>
      <c r="AA6" s="246">
        <f t="shared" si="11"/>
        <v>13482.775000000001</v>
      </c>
    </row>
    <row r="7" spans="1:27" ht="14.5" customHeight="1">
      <c r="A7" s="206" t="s">
        <v>171</v>
      </c>
      <c r="B7" s="217">
        <v>800</v>
      </c>
      <c r="C7" s="220">
        <v>8034.6</v>
      </c>
      <c r="D7" s="223">
        <v>2945</v>
      </c>
      <c r="E7" s="226">
        <v>2953</v>
      </c>
      <c r="F7" s="228">
        <v>2827</v>
      </c>
      <c r="G7" s="212">
        <v>2280</v>
      </c>
      <c r="H7" s="213">
        <v>300</v>
      </c>
      <c r="I7" s="242">
        <v>0</v>
      </c>
      <c r="J7" s="243">
        <v>0</v>
      </c>
      <c r="K7" s="244">
        <v>0</v>
      </c>
      <c r="L7" s="245">
        <f>AVERAGE(B7,C7,D7,E7,F7,G7,H7)</f>
        <v>2877.0857142857139</v>
      </c>
      <c r="M7" s="245" t="e">
        <f>MODE(B7,C7,D7,E7,F7,G7,H7)</f>
        <v>#N/A</v>
      </c>
      <c r="N7" s="245">
        <f>MEDIAN(B7,C7,D7,E7,F7,G7,H7)</f>
        <v>2827</v>
      </c>
      <c r="O7" s="217">
        <f t="shared" si="0"/>
        <v>-2077.0857142857139</v>
      </c>
      <c r="P7" s="220">
        <f t="shared" si="1"/>
        <v>5157.5142857142864</v>
      </c>
      <c r="Q7" s="223">
        <f t="shared" si="2"/>
        <v>67.914285714286052</v>
      </c>
      <c r="R7" s="226">
        <f>J7-L7</f>
        <v>-2877.0857142857139</v>
      </c>
      <c r="S7" s="228">
        <f t="shared" si="3"/>
        <v>-50.085714285713948</v>
      </c>
      <c r="T7" s="212">
        <f t="shared" si="4"/>
        <v>-597.08571428571395</v>
      </c>
      <c r="U7" s="213">
        <f t="shared" si="5"/>
        <v>-2577.0857142857139</v>
      </c>
      <c r="V7" s="232">
        <f t="shared" si="6"/>
        <v>-2877.0857142857139</v>
      </c>
      <c r="W7" s="234">
        <f t="shared" si="7"/>
        <v>-2877.0857142857139</v>
      </c>
      <c r="X7" s="236">
        <f t="shared" si="8"/>
        <v>-2877.0857142857139</v>
      </c>
      <c r="Y7" s="204">
        <f t="shared" si="9"/>
        <v>2877.0857142857139</v>
      </c>
      <c r="Z7" s="204">
        <f t="shared" si="10"/>
        <v>5157.5142857142864</v>
      </c>
      <c r="AA7" s="246">
        <f t="shared" si="11"/>
        <v>5157.5142857142864</v>
      </c>
    </row>
    <row r="8" spans="1:27" ht="14.5" customHeight="1">
      <c r="A8" s="206" t="s">
        <v>172</v>
      </c>
      <c r="B8" s="217">
        <v>0</v>
      </c>
      <c r="C8" s="220">
        <v>22.73</v>
      </c>
      <c r="D8" s="223" t="s">
        <v>173</v>
      </c>
      <c r="E8" s="226" t="s">
        <v>173</v>
      </c>
      <c r="F8" s="228" t="s">
        <v>173</v>
      </c>
      <c r="G8" s="212" t="s">
        <v>173</v>
      </c>
      <c r="H8" s="213" t="s">
        <v>173</v>
      </c>
      <c r="I8" s="242" t="s">
        <v>173</v>
      </c>
      <c r="J8" s="243" t="s">
        <v>173</v>
      </c>
      <c r="K8" s="244" t="s">
        <v>173</v>
      </c>
      <c r="L8" s="245">
        <f>AVERAGE(B8,C8,J8,K8)</f>
        <v>11.365</v>
      </c>
      <c r="M8" s="245" t="s">
        <v>173</v>
      </c>
      <c r="N8" s="245" t="s">
        <v>173</v>
      </c>
      <c r="O8" s="217">
        <f t="shared" si="0"/>
        <v>-11.365</v>
      </c>
      <c r="P8" s="220">
        <f t="shared" si="1"/>
        <v>11.365</v>
      </c>
      <c r="Q8" s="223" t="e">
        <f t="shared" si="2"/>
        <v>#VALUE!</v>
      </c>
      <c r="R8" s="226" t="s">
        <v>173</v>
      </c>
      <c r="S8" s="228" t="e">
        <f t="shared" si="3"/>
        <v>#VALUE!</v>
      </c>
      <c r="T8" s="212" t="e">
        <f t="shared" si="4"/>
        <v>#VALUE!</v>
      </c>
      <c r="U8" s="213" t="e">
        <f t="shared" si="5"/>
        <v>#VALUE!</v>
      </c>
      <c r="V8" s="232" t="e">
        <f t="shared" si="6"/>
        <v>#VALUE!</v>
      </c>
      <c r="W8" s="234" t="e">
        <f t="shared" si="7"/>
        <v>#VALUE!</v>
      </c>
      <c r="X8" s="236" t="e">
        <f t="shared" si="8"/>
        <v>#VALUE!</v>
      </c>
      <c r="Y8" s="204" t="e">
        <f t="shared" si="9"/>
        <v>#VALUE!</v>
      </c>
      <c r="Z8" s="204" t="e">
        <f t="shared" si="10"/>
        <v>#VALUE!</v>
      </c>
      <c r="AA8" s="246" t="e">
        <f t="shared" si="11"/>
        <v>#VALUE!</v>
      </c>
    </row>
    <row r="9" spans="1:27" ht="14.5" customHeight="1">
      <c r="A9" s="206" t="s">
        <v>174</v>
      </c>
      <c r="B9" s="217">
        <v>180</v>
      </c>
      <c r="C9" s="220">
        <v>0</v>
      </c>
      <c r="D9" s="223">
        <v>833</v>
      </c>
      <c r="E9" s="226">
        <v>319</v>
      </c>
      <c r="F9" s="228">
        <v>272</v>
      </c>
      <c r="G9" s="212">
        <v>0</v>
      </c>
      <c r="H9" s="213">
        <v>0</v>
      </c>
      <c r="I9" s="242">
        <v>0</v>
      </c>
      <c r="J9" s="243">
        <v>1428</v>
      </c>
      <c r="K9" s="244">
        <v>0</v>
      </c>
      <c r="L9" s="245">
        <f>AVERAGE(B9,D9,E9,F9,J9)</f>
        <v>606.4</v>
      </c>
      <c r="M9" s="245" t="e">
        <f>MODE(B9,D9,E9,F9,J9)</f>
        <v>#N/A</v>
      </c>
      <c r="N9" s="245">
        <f>MEDIAN(B9,D9,E9,F9,J9)</f>
        <v>319</v>
      </c>
      <c r="O9" s="217">
        <f t="shared" si="0"/>
        <v>-426.4</v>
      </c>
      <c r="P9" s="220">
        <f t="shared" si="1"/>
        <v>-606.4</v>
      </c>
      <c r="Q9" s="223">
        <f t="shared" si="2"/>
        <v>226.60000000000002</v>
      </c>
      <c r="R9" s="226">
        <f>J9-L9</f>
        <v>821.6</v>
      </c>
      <c r="S9" s="228">
        <f t="shared" si="3"/>
        <v>-334.4</v>
      </c>
      <c r="T9" s="212">
        <f t="shared" si="4"/>
        <v>-606.4</v>
      </c>
      <c r="U9" s="213">
        <f t="shared" si="5"/>
        <v>-606.4</v>
      </c>
      <c r="V9" s="232">
        <f t="shared" si="6"/>
        <v>-606.4</v>
      </c>
      <c r="W9" s="234">
        <f t="shared" si="7"/>
        <v>821.6</v>
      </c>
      <c r="X9" s="236">
        <f t="shared" si="8"/>
        <v>-606.4</v>
      </c>
      <c r="Y9" s="204">
        <f t="shared" si="9"/>
        <v>606.4</v>
      </c>
      <c r="Z9" s="204">
        <f t="shared" si="10"/>
        <v>821.6</v>
      </c>
      <c r="AA9" s="246">
        <f t="shared" si="11"/>
        <v>821.6</v>
      </c>
    </row>
    <row r="10" spans="1:27" ht="14.5" customHeight="1" thickBot="1">
      <c r="A10" s="208" t="s">
        <v>175</v>
      </c>
      <c r="B10" s="218">
        <v>0</v>
      </c>
      <c r="C10" s="221">
        <v>9.8000000000000007</v>
      </c>
      <c r="D10" s="224">
        <v>13.9</v>
      </c>
      <c r="E10" s="227">
        <v>13.9</v>
      </c>
      <c r="F10" s="229">
        <v>11.7</v>
      </c>
      <c r="G10" s="214">
        <v>7.6</v>
      </c>
      <c r="H10" s="215">
        <v>4.3</v>
      </c>
      <c r="I10" s="247">
        <v>10</v>
      </c>
      <c r="J10" s="248">
        <v>20</v>
      </c>
      <c r="K10" s="249">
        <v>7.5</v>
      </c>
      <c r="L10" s="250">
        <f>AVERAGE(C10,D10,E10,F10,G10,H10,I10,J10,K10)</f>
        <v>10.966666666666665</v>
      </c>
      <c r="M10" s="250">
        <f>MODE(D10,E10,F10,G10,H10,I10,J10,K10)</f>
        <v>13.9</v>
      </c>
      <c r="N10" s="250">
        <f>MEDIAN(D10,E10,F10,G10,H10,I10,J10,K10)</f>
        <v>10.85</v>
      </c>
      <c r="O10" s="218">
        <f t="shared" si="0"/>
        <v>-10.966666666666665</v>
      </c>
      <c r="P10" s="221">
        <f t="shared" si="1"/>
        <v>-1.1666666666666643</v>
      </c>
      <c r="Q10" s="223">
        <f t="shared" si="2"/>
        <v>2.9333333333333353</v>
      </c>
      <c r="R10" s="227">
        <f>J10-L10</f>
        <v>9.033333333333335</v>
      </c>
      <c r="S10" s="228">
        <f t="shared" si="3"/>
        <v>0.73333333333333428</v>
      </c>
      <c r="T10" s="212">
        <f t="shared" si="4"/>
        <v>-3.3666666666666654</v>
      </c>
      <c r="U10" s="213">
        <f t="shared" si="5"/>
        <v>-6.6666666666666652</v>
      </c>
      <c r="V10" s="232">
        <f t="shared" si="6"/>
        <v>-0.96666666666666501</v>
      </c>
      <c r="W10" s="234">
        <f t="shared" si="7"/>
        <v>9.033333333333335</v>
      </c>
      <c r="X10" s="236">
        <f t="shared" si="8"/>
        <v>-3.466666666666665</v>
      </c>
      <c r="Y10" s="204">
        <f t="shared" si="9"/>
        <v>10.966666666666665</v>
      </c>
      <c r="Z10" s="204">
        <f t="shared" si="10"/>
        <v>9.033333333333335</v>
      </c>
      <c r="AA10" s="246">
        <f t="shared" si="11"/>
        <v>10.966666666666665</v>
      </c>
    </row>
    <row r="11" spans="1:27" ht="14.5" customHeight="1" thickBo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4.5" customHeight="1">
      <c r="A12" s="205" t="s">
        <v>176</v>
      </c>
      <c r="B12" s="251" t="e">
        <f t="shared" ref="B12:K12" si="12">B2/(B10/100)</f>
        <v>#DIV/0!</v>
      </c>
      <c r="C12" s="251">
        <f t="shared" si="12"/>
        <v>0</v>
      </c>
      <c r="D12" s="251">
        <f t="shared" si="12"/>
        <v>17.122302158273378</v>
      </c>
      <c r="E12" s="251">
        <f t="shared" si="12"/>
        <v>17.985611510791365</v>
      </c>
      <c r="F12" s="251">
        <f t="shared" si="12"/>
        <v>21.452991452991451</v>
      </c>
      <c r="G12" s="251">
        <f t="shared" si="12"/>
        <v>10.657894736842106</v>
      </c>
      <c r="H12" s="251">
        <f t="shared" si="12"/>
        <v>25.581395348837212</v>
      </c>
      <c r="I12" s="251">
        <f t="shared" si="12"/>
        <v>21</v>
      </c>
      <c r="J12" s="251">
        <f t="shared" si="12"/>
        <v>14.065</v>
      </c>
      <c r="K12" s="252">
        <f t="shared" si="12"/>
        <v>20</v>
      </c>
      <c r="L12" s="14"/>
      <c r="M12" s="14"/>
      <c r="N12" s="14"/>
    </row>
    <row r="13" spans="1:27" ht="14.5" customHeight="1">
      <c r="A13" s="206" t="s">
        <v>177</v>
      </c>
      <c r="B13" s="203">
        <f t="shared" ref="B13:K13" si="13">B6/(B4*9.81)</f>
        <v>15.68258448992394</v>
      </c>
      <c r="C13" s="203">
        <f t="shared" si="13"/>
        <v>63.756230218295386</v>
      </c>
      <c r="D13" s="203">
        <f t="shared" si="13"/>
        <v>0</v>
      </c>
      <c r="E13" s="203">
        <f t="shared" si="13"/>
        <v>0</v>
      </c>
      <c r="F13" s="203">
        <f t="shared" si="13"/>
        <v>0</v>
      </c>
      <c r="G13" s="203">
        <f t="shared" si="13"/>
        <v>58.180908968514984</v>
      </c>
      <c r="H13" s="203">
        <f t="shared" si="13"/>
        <v>18.947360443216652</v>
      </c>
      <c r="I13" s="203">
        <f t="shared" si="13"/>
        <v>0</v>
      </c>
      <c r="J13" s="203">
        <f t="shared" si="13"/>
        <v>0</v>
      </c>
      <c r="K13" s="253">
        <f t="shared" si="13"/>
        <v>0</v>
      </c>
      <c r="L13" s="14"/>
      <c r="M13" s="14"/>
      <c r="N13" s="14"/>
    </row>
    <row r="14" spans="1:27" ht="14.5" customHeight="1">
      <c r="A14" s="206" t="s">
        <v>178</v>
      </c>
      <c r="B14" s="203">
        <f t="shared" ref="B14:K14" si="14">B7/(B4)</f>
        <v>61.53846153846154</v>
      </c>
      <c r="C14" s="203">
        <f t="shared" si="14"/>
        <v>249.44427196522818</v>
      </c>
      <c r="D14" s="203">
        <f t="shared" si="14"/>
        <v>113.26923076923077</v>
      </c>
      <c r="E14" s="203">
        <f t="shared" si="14"/>
        <v>140.61904761904762</v>
      </c>
      <c r="F14" s="203">
        <f t="shared" si="14"/>
        <v>130.87962962962962</v>
      </c>
      <c r="G14" s="203">
        <f t="shared" si="14"/>
        <v>298.74213836477986</v>
      </c>
      <c r="H14" s="203">
        <f t="shared" si="14"/>
        <v>371.74721189591077</v>
      </c>
      <c r="I14" s="203">
        <f t="shared" si="14"/>
        <v>0</v>
      </c>
      <c r="J14" s="203">
        <f t="shared" si="14"/>
        <v>0</v>
      </c>
      <c r="K14" s="253">
        <f t="shared" si="14"/>
        <v>0</v>
      </c>
      <c r="L14" s="14"/>
      <c r="M14" s="14"/>
      <c r="N14" s="14"/>
    </row>
    <row r="15" spans="1:27">
      <c r="A15" s="254" t="s">
        <v>179</v>
      </c>
      <c r="B15" s="203">
        <f>B14/9.81</f>
        <v>6.2730337959695754</v>
      </c>
      <c r="C15" s="203">
        <f t="shared" ref="C15:F15" si="15">C14/9.81</f>
        <v>25.427550659044666</v>
      </c>
      <c r="D15" s="203">
        <f t="shared" si="15"/>
        <v>11.5463028307065</v>
      </c>
      <c r="E15" s="203">
        <f t="shared" si="15"/>
        <v>14.334255618659288</v>
      </c>
      <c r="F15" s="203">
        <f t="shared" si="15"/>
        <v>13.341450522898024</v>
      </c>
      <c r="G15" s="203">
        <f>G14/9.81</f>
        <v>30.45281736644035</v>
      </c>
      <c r="H15" s="203">
        <f>H14/9.81</f>
        <v>37.894720886433305</v>
      </c>
      <c r="I15" s="203">
        <f>I14/9.81</f>
        <v>0</v>
      </c>
      <c r="J15" s="203">
        <f>J14/9.81</f>
        <v>0</v>
      </c>
      <c r="K15" s="253">
        <f>K14/9.81</f>
        <v>0</v>
      </c>
      <c r="L15" s="14"/>
      <c r="M15" s="14"/>
      <c r="N15" s="14"/>
    </row>
    <row r="16" spans="1:27">
      <c r="A16" s="206" t="s">
        <v>180</v>
      </c>
      <c r="B16" s="203">
        <f t="shared" ref="B16:K16" si="16">B7/(B4*9.81)</f>
        <v>6.2730337959695754</v>
      </c>
      <c r="C16" s="203">
        <f t="shared" si="16"/>
        <v>25.427550659044666</v>
      </c>
      <c r="D16" s="203">
        <f t="shared" si="16"/>
        <v>11.5463028307065</v>
      </c>
      <c r="E16" s="203">
        <f t="shared" si="16"/>
        <v>14.334255618659286</v>
      </c>
      <c r="F16" s="203">
        <f t="shared" si="16"/>
        <v>13.341450522898025</v>
      </c>
      <c r="G16" s="203">
        <f t="shared" si="16"/>
        <v>30.45281736644035</v>
      </c>
      <c r="H16" s="203">
        <f t="shared" si="16"/>
        <v>37.894720886433305</v>
      </c>
      <c r="I16" s="203">
        <f t="shared" si="16"/>
        <v>0</v>
      </c>
      <c r="J16" s="203">
        <f t="shared" si="16"/>
        <v>0</v>
      </c>
      <c r="K16" s="253">
        <f t="shared" si="16"/>
        <v>0</v>
      </c>
      <c r="L16" s="14"/>
      <c r="M16" s="14"/>
      <c r="N16" s="14"/>
    </row>
    <row r="17" spans="1:14" ht="15" thickBot="1">
      <c r="A17" s="208" t="s">
        <v>78</v>
      </c>
      <c r="B17" s="209">
        <f t="shared" ref="B17:K17" si="17">B9/330</f>
        <v>0.54545454545454541</v>
      </c>
      <c r="C17" s="209">
        <f t="shared" si="17"/>
        <v>0</v>
      </c>
      <c r="D17" s="209">
        <f t="shared" si="17"/>
        <v>2.5242424242424244</v>
      </c>
      <c r="E17" s="209">
        <f t="shared" si="17"/>
        <v>0.96666666666666667</v>
      </c>
      <c r="F17" s="209">
        <f t="shared" si="17"/>
        <v>0.82424242424242422</v>
      </c>
      <c r="G17" s="209">
        <f t="shared" si="17"/>
        <v>0</v>
      </c>
      <c r="H17" s="209">
        <f t="shared" si="17"/>
        <v>0</v>
      </c>
      <c r="I17" s="209">
        <f t="shared" si="17"/>
        <v>0</v>
      </c>
      <c r="J17" s="209">
        <f t="shared" si="17"/>
        <v>4.3272727272727272</v>
      </c>
      <c r="K17" s="255">
        <f t="shared" si="17"/>
        <v>0</v>
      </c>
      <c r="L17" s="14"/>
      <c r="M17" s="14"/>
      <c r="N17" s="14"/>
    </row>
    <row r="18" spans="1:14" ht="14.5" customHeight="1"/>
    <row r="19" spans="1:14">
      <c r="A19" s="13" t="s">
        <v>181</v>
      </c>
    </row>
  </sheetData>
  <autoFilter ref="A1:E8" xr:uid="{00000000-0009-0000-0000-000001000000}"/>
  <conditionalFormatting sqref="B9:F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F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K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customProperties>
    <customPr name="DynardoMOPSolver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X104"/>
  <sheetViews>
    <sheetView zoomScale="70" zoomScaleNormal="70" workbookViewId="0">
      <pane xSplit="1" ySplit="9" topLeftCell="B44" activePane="bottomRight" state="frozen"/>
      <selection pane="topRight" activeCell="B1" sqref="B1"/>
      <selection pane="bottomLeft" activeCell="A9" sqref="A9"/>
      <selection pane="bottomRight" activeCell="C8" sqref="C8"/>
    </sheetView>
  </sheetViews>
  <sheetFormatPr defaultColWidth="8.90625" defaultRowHeight="14.5"/>
  <cols>
    <col min="1" max="1" width="1.08984375" style="1" customWidth="1"/>
    <col min="2" max="2" width="20.7265625" style="1" bestFit="1" customWidth="1"/>
    <col min="3" max="3" width="15.90625" style="1" bestFit="1" customWidth="1"/>
    <col min="4" max="4" width="12.7265625" style="1" customWidth="1"/>
    <col min="5" max="6" width="11.90625" style="1" bestFit="1" customWidth="1"/>
    <col min="7" max="7" width="8.90625" style="1"/>
    <col min="8" max="8" width="13.7265625" style="1" bestFit="1" customWidth="1"/>
    <col min="9" max="9" width="11.90625" style="1" bestFit="1" customWidth="1"/>
    <col min="10" max="10" width="8.90625" style="1"/>
    <col min="11" max="11" width="13.08984375" style="1" customWidth="1"/>
    <col min="12" max="12" width="11.90625" style="1" bestFit="1" customWidth="1"/>
    <col min="13" max="13" width="3.36328125" style="1" customWidth="1"/>
    <col min="14" max="14" width="11.26953125" style="1" customWidth="1"/>
    <col min="15" max="15" width="16.26953125" style="1" customWidth="1"/>
    <col min="16" max="20" width="8.90625" style="1"/>
    <col min="21" max="21" width="11.36328125" style="1" bestFit="1" customWidth="1"/>
    <col min="22" max="22" width="12" style="1" bestFit="1" customWidth="1"/>
    <col min="23" max="16384" width="8.90625" style="1"/>
  </cols>
  <sheetData>
    <row r="1" spans="2:22" ht="15" thickBot="1"/>
    <row r="2" spans="2:22" ht="37.15" customHeight="1">
      <c r="B2" s="331" t="s">
        <v>182</v>
      </c>
      <c r="C2" s="333"/>
    </row>
    <row r="3" spans="2:22">
      <c r="B3" s="3" t="s">
        <v>183</v>
      </c>
      <c r="C3" s="4">
        <f>2.5</f>
        <v>2.5</v>
      </c>
    </row>
    <row r="4" spans="2:22">
      <c r="B4" s="3" t="s">
        <v>184</v>
      </c>
      <c r="C4" s="4">
        <f>2.54*5</f>
        <v>12.7</v>
      </c>
    </row>
    <row r="5" spans="2:22">
      <c r="B5" s="166" t="s">
        <v>185</v>
      </c>
      <c r="C5" s="167">
        <v>15</v>
      </c>
    </row>
    <row r="6" spans="2:22">
      <c r="B6" s="166" t="s">
        <v>186</v>
      </c>
      <c r="C6" s="167">
        <v>10</v>
      </c>
    </row>
    <row r="7" spans="2:22">
      <c r="B7" s="166" t="s">
        <v>187</v>
      </c>
      <c r="C7" s="167">
        <v>30</v>
      </c>
    </row>
    <row r="8" spans="2:22">
      <c r="B8" s="166" t="s">
        <v>188</v>
      </c>
      <c r="C8" s="191">
        <f>D62*4+(PI()*(DiameterRocket/100)^2)/4</f>
        <v>1.3867686977437444E-2</v>
      </c>
    </row>
    <row r="9" spans="2:22" ht="15" thickBot="1">
      <c r="B9" s="5" t="s">
        <v>189</v>
      </c>
      <c r="C9" s="6">
        <v>20</v>
      </c>
    </row>
    <row r="10" spans="2:22" ht="15" thickBot="1"/>
    <row r="11" spans="2:22" ht="45" customHeight="1" thickBot="1">
      <c r="B11" s="8" t="s">
        <v>190</v>
      </c>
    </row>
    <row r="12" spans="2:22" ht="15" thickBot="1">
      <c r="B12" s="7" t="s">
        <v>191</v>
      </c>
      <c r="C12" s="313" t="s">
        <v>192</v>
      </c>
      <c r="D12" s="314"/>
      <c r="E12" s="314"/>
      <c r="F12" s="314"/>
      <c r="G12" s="315"/>
      <c r="H12" s="1" t="s">
        <v>193</v>
      </c>
      <c r="I12" s="1" t="s">
        <v>194</v>
      </c>
      <c r="J12" s="1" t="s">
        <v>195</v>
      </c>
      <c r="L12" s="64"/>
      <c r="M12" s="64"/>
      <c r="N12" s="8" t="s">
        <v>191</v>
      </c>
      <c r="O12" s="313" t="s">
        <v>196</v>
      </c>
      <c r="P12" s="314"/>
      <c r="Q12" s="314"/>
      <c r="R12" s="314"/>
      <c r="S12" s="315"/>
      <c r="T12" s="1" t="s">
        <v>193</v>
      </c>
      <c r="U12" s="1" t="s">
        <v>194</v>
      </c>
      <c r="V12" s="1" t="s">
        <v>195</v>
      </c>
    </row>
    <row r="13" spans="2:22">
      <c r="B13" s="328" t="s">
        <v>197</v>
      </c>
      <c r="C13" s="71"/>
      <c r="D13" s="72"/>
      <c r="E13" s="72"/>
      <c r="F13" s="72"/>
      <c r="G13" s="73"/>
      <c r="H13" s="1">
        <v>0</v>
      </c>
      <c r="I13" s="1">
        <v>0</v>
      </c>
      <c r="J13" s="1">
        <f>I13*-1</f>
        <v>0</v>
      </c>
      <c r="L13" s="64"/>
      <c r="M13" s="64"/>
      <c r="N13" s="328" t="s">
        <v>197</v>
      </c>
      <c r="O13" s="71"/>
      <c r="P13" s="72"/>
      <c r="Q13" s="72"/>
      <c r="R13" s="72"/>
      <c r="S13" s="73"/>
      <c r="T13" s="1">
        <v>0</v>
      </c>
      <c r="U13" s="1">
        <v>0</v>
      </c>
      <c r="V13" s="1">
        <f>U13*-1</f>
        <v>0</v>
      </c>
    </row>
    <row r="14" spans="2:22">
      <c r="B14" s="329"/>
      <c r="C14" s="74"/>
      <c r="D14" s="64"/>
      <c r="E14" s="64"/>
      <c r="F14" s="64"/>
      <c r="G14" s="75"/>
      <c r="H14" s="1">
        <f>(D26/8/2)</f>
        <v>1.875</v>
      </c>
      <c r="I14" s="1">
        <f t="shared" ref="I14:I22" si="0">H14*$D$24</f>
        <v>0.39687499999999998</v>
      </c>
      <c r="J14" s="1">
        <f t="shared" ref="J14:J22" si="1">I14*-1</f>
        <v>-0.39687499999999998</v>
      </c>
      <c r="L14" s="64"/>
      <c r="M14" s="64"/>
      <c r="N14" s="329"/>
      <c r="O14" s="74"/>
      <c r="P14" s="64"/>
      <c r="Q14" s="64"/>
      <c r="R14" s="64"/>
      <c r="S14" s="75"/>
      <c r="T14" s="1">
        <f>(P26/8/2)</f>
        <v>1.875</v>
      </c>
      <c r="U14" s="1">
        <f t="shared" ref="U14:U22" si="2">SQRT(Rogive^2-(LargeOgive-T14)^2)-(Rogive-$P$25/2)</f>
        <v>0.80028140974278017</v>
      </c>
      <c r="V14" s="1">
        <f>-U14</f>
        <v>-0.80028140974278017</v>
      </c>
    </row>
    <row r="15" spans="2:22">
      <c r="B15" s="329"/>
      <c r="C15" s="74"/>
      <c r="D15" s="64"/>
      <c r="E15" s="64"/>
      <c r="F15" s="64"/>
      <c r="G15" s="75"/>
      <c r="H15" s="1">
        <f>($D$26/8)+H14</f>
        <v>5.625</v>
      </c>
      <c r="I15" s="1">
        <f t="shared" si="0"/>
        <v>1.190625</v>
      </c>
      <c r="J15" s="1">
        <f t="shared" si="1"/>
        <v>-1.190625</v>
      </c>
      <c r="L15" s="64"/>
      <c r="M15" s="64"/>
      <c r="N15" s="329"/>
      <c r="O15" s="74"/>
      <c r="P15" s="64"/>
      <c r="Q15" s="64"/>
      <c r="R15" s="64"/>
      <c r="S15" s="75"/>
      <c r="T15" s="1">
        <f>($D$26/8)+T14</f>
        <v>5.625</v>
      </c>
      <c r="U15" s="1">
        <f t="shared" si="2"/>
        <v>2.2227341724329506</v>
      </c>
      <c r="V15" s="1">
        <f t="shared" ref="V15:V22" si="3">-U15</f>
        <v>-2.2227341724329506</v>
      </c>
    </row>
    <row r="16" spans="2:22">
      <c r="B16" s="329"/>
      <c r="C16" s="74"/>
      <c r="D16" s="64"/>
      <c r="E16" s="64"/>
      <c r="F16" s="64"/>
      <c r="G16" s="75"/>
      <c r="H16" s="1">
        <f t="shared" ref="H16:H21" si="4">($D$26/8)+H15</f>
        <v>9.375</v>
      </c>
      <c r="I16" s="1">
        <f t="shared" si="0"/>
        <v>1.984375</v>
      </c>
      <c r="J16" s="1">
        <f t="shared" si="1"/>
        <v>-1.984375</v>
      </c>
      <c r="L16" s="64"/>
      <c r="M16" s="64"/>
      <c r="N16" s="329"/>
      <c r="O16" s="74"/>
      <c r="P16" s="64"/>
      <c r="Q16" s="64"/>
      <c r="R16" s="64"/>
      <c r="S16" s="75"/>
      <c r="T16" s="1">
        <f t="shared" ref="T16:T21" si="5">($D$26/8)+T15</f>
        <v>9.375</v>
      </c>
      <c r="U16" s="1">
        <f t="shared" si="2"/>
        <v>3.4193360049676613</v>
      </c>
      <c r="V16" s="1">
        <f t="shared" si="3"/>
        <v>-3.4193360049676613</v>
      </c>
    </row>
    <row r="17" spans="2:22">
      <c r="B17" s="329"/>
      <c r="C17" s="74"/>
      <c r="D17" s="64"/>
      <c r="E17" s="64"/>
      <c r="F17" s="64"/>
      <c r="G17" s="75"/>
      <c r="H17" s="1">
        <f t="shared" si="4"/>
        <v>13.125</v>
      </c>
      <c r="I17" s="1">
        <f t="shared" si="0"/>
        <v>2.7781250000000002</v>
      </c>
      <c r="J17" s="1">
        <f t="shared" si="1"/>
        <v>-2.7781250000000002</v>
      </c>
      <c r="L17" s="64"/>
      <c r="M17" s="64"/>
      <c r="N17" s="329"/>
      <c r="O17" s="74"/>
      <c r="P17" s="64"/>
      <c r="Q17" s="64"/>
      <c r="R17" s="64"/>
      <c r="S17" s="75"/>
      <c r="T17" s="1">
        <f t="shared" si="5"/>
        <v>13.125</v>
      </c>
      <c r="U17" s="1">
        <f t="shared" si="2"/>
        <v>4.4013339085217069</v>
      </c>
      <c r="V17" s="1">
        <f t="shared" si="3"/>
        <v>-4.4013339085217069</v>
      </c>
    </row>
    <row r="18" spans="2:22">
      <c r="B18" s="329"/>
      <c r="C18" s="74"/>
      <c r="D18" s="64"/>
      <c r="E18" s="64"/>
      <c r="F18" s="64"/>
      <c r="G18" s="75"/>
      <c r="H18" s="1">
        <f t="shared" si="4"/>
        <v>16.875</v>
      </c>
      <c r="I18" s="1">
        <f t="shared" si="0"/>
        <v>3.5718749999999999</v>
      </c>
      <c r="J18" s="1">
        <f t="shared" si="1"/>
        <v>-3.5718749999999999</v>
      </c>
      <c r="L18" s="64"/>
      <c r="M18" s="64"/>
      <c r="N18" s="329"/>
      <c r="O18" s="74"/>
      <c r="P18" s="64"/>
      <c r="Q18" s="64"/>
      <c r="R18" s="64"/>
      <c r="S18" s="75"/>
      <c r="T18" s="1">
        <f>($D$26/8)+T17</f>
        <v>16.875</v>
      </c>
      <c r="U18" s="1">
        <f t="shared" si="2"/>
        <v>5.1774045961570891</v>
      </c>
      <c r="V18" s="1">
        <f t="shared" si="3"/>
        <v>-5.1774045961570891</v>
      </c>
    </row>
    <row r="19" spans="2:22">
      <c r="B19" s="329"/>
      <c r="C19" s="74"/>
      <c r="D19" s="64"/>
      <c r="E19" s="64"/>
      <c r="F19" s="64"/>
      <c r="G19" s="75"/>
      <c r="H19" s="1">
        <f t="shared" si="4"/>
        <v>20.625</v>
      </c>
      <c r="I19" s="1">
        <f t="shared" si="0"/>
        <v>4.3656249999999996</v>
      </c>
      <c r="J19" s="1">
        <f t="shared" si="1"/>
        <v>-4.3656249999999996</v>
      </c>
      <c r="L19" s="64"/>
      <c r="M19" s="64"/>
      <c r="N19" s="329"/>
      <c r="O19" s="74"/>
      <c r="P19" s="64"/>
      <c r="Q19" s="64"/>
      <c r="R19" s="64"/>
      <c r="S19" s="75"/>
      <c r="T19" s="1">
        <f t="shared" si="5"/>
        <v>20.625</v>
      </c>
      <c r="U19" s="1">
        <f t="shared" si="2"/>
        <v>5.7540762469702145</v>
      </c>
      <c r="V19" s="1">
        <f t="shared" si="3"/>
        <v>-5.7540762469702145</v>
      </c>
    </row>
    <row r="20" spans="2:22">
      <c r="B20" s="329"/>
      <c r="C20" s="74"/>
      <c r="D20" s="64"/>
      <c r="E20" s="64"/>
      <c r="F20" s="64"/>
      <c r="G20" s="75"/>
      <c r="H20" s="1">
        <f t="shared" si="4"/>
        <v>24.375</v>
      </c>
      <c r="I20" s="1">
        <f t="shared" si="0"/>
        <v>5.1593749999999998</v>
      </c>
      <c r="J20" s="1">
        <f t="shared" si="1"/>
        <v>-5.1593749999999998</v>
      </c>
      <c r="L20" s="64"/>
      <c r="M20" s="64"/>
      <c r="N20" s="329"/>
      <c r="O20" s="74"/>
      <c r="P20" s="64"/>
      <c r="Q20" s="64"/>
      <c r="R20" s="64"/>
      <c r="S20" s="75"/>
      <c r="T20" s="1">
        <f t="shared" si="5"/>
        <v>24.375</v>
      </c>
      <c r="U20" s="1">
        <f t="shared" si="2"/>
        <v>6.1360215886791423</v>
      </c>
      <c r="V20" s="1">
        <f t="shared" si="3"/>
        <v>-6.1360215886791423</v>
      </c>
    </row>
    <row r="21" spans="2:22">
      <c r="B21" s="329"/>
      <c r="C21" s="74"/>
      <c r="D21" s="64"/>
      <c r="E21" s="64"/>
      <c r="F21" s="64"/>
      <c r="G21" s="75"/>
      <c r="H21" s="1">
        <f t="shared" si="4"/>
        <v>28.125</v>
      </c>
      <c r="I21" s="1">
        <f t="shared" si="0"/>
        <v>5.953125</v>
      </c>
      <c r="J21" s="1">
        <f t="shared" si="1"/>
        <v>-5.953125</v>
      </c>
      <c r="L21" s="64"/>
      <c r="M21" s="64"/>
      <c r="N21" s="329"/>
      <c r="O21" s="74"/>
      <c r="P21" s="64"/>
      <c r="Q21" s="64"/>
      <c r="R21" s="64"/>
      <c r="S21" s="75"/>
      <c r="T21" s="1">
        <f t="shared" si="5"/>
        <v>28.125</v>
      </c>
      <c r="U21" s="1">
        <f t="shared" si="2"/>
        <v>6.3262551688511195</v>
      </c>
      <c r="V21" s="1">
        <f t="shared" si="3"/>
        <v>-6.3262551688511195</v>
      </c>
    </row>
    <row r="22" spans="2:22" ht="15" thickBot="1">
      <c r="B22" s="329"/>
      <c r="C22" s="74"/>
      <c r="D22" s="64"/>
      <c r="E22" s="64"/>
      <c r="F22" s="64"/>
      <c r="G22" s="75"/>
      <c r="H22" s="1">
        <f>D26</f>
        <v>30</v>
      </c>
      <c r="I22" s="1">
        <f t="shared" si="0"/>
        <v>6.35</v>
      </c>
      <c r="J22" s="1">
        <f t="shared" si="1"/>
        <v>-6.35</v>
      </c>
      <c r="L22" s="64"/>
      <c r="M22" s="64"/>
      <c r="N22" s="330"/>
      <c r="O22" s="74"/>
      <c r="P22" s="64"/>
      <c r="Q22" s="64"/>
      <c r="R22" s="64"/>
      <c r="S22" s="75"/>
      <c r="T22" s="1">
        <f>P26</f>
        <v>30</v>
      </c>
      <c r="U22" s="1">
        <f t="shared" si="2"/>
        <v>6.3499999999999943</v>
      </c>
      <c r="V22" s="1">
        <f t="shared" si="3"/>
        <v>-6.3499999999999943</v>
      </c>
    </row>
    <row r="23" spans="2:22" ht="14.5" customHeight="1">
      <c r="B23" s="348" t="s">
        <v>198</v>
      </c>
      <c r="C23" s="66"/>
      <c r="D23" s="65" t="s">
        <v>193</v>
      </c>
      <c r="E23" s="65"/>
      <c r="F23" s="65"/>
      <c r="G23" s="65"/>
      <c r="K23" s="326"/>
      <c r="N23" s="347" t="s">
        <v>198</v>
      </c>
      <c r="O23" s="66" t="s">
        <v>199</v>
      </c>
      <c r="P23" s="65">
        <f>((P25/2)^2+P26^2)/(2*(P25/2))</f>
        <v>74.041141732283464</v>
      </c>
      <c r="Q23" s="65"/>
      <c r="R23" s="65"/>
      <c r="S23" s="65"/>
    </row>
    <row r="24" spans="2:22">
      <c r="B24" s="348"/>
      <c r="C24" s="67" t="s">
        <v>200</v>
      </c>
      <c r="D24" s="1">
        <f>(F25/2)/(F26)</f>
        <v>0.21166666666666667</v>
      </c>
      <c r="K24" s="326"/>
      <c r="N24" s="348"/>
      <c r="O24" s="67" t="s">
        <v>200</v>
      </c>
      <c r="P24" s="1" t="s">
        <v>201</v>
      </c>
    </row>
    <row r="25" spans="2:22">
      <c r="B25" s="348"/>
      <c r="C25" s="67" t="s">
        <v>202</v>
      </c>
      <c r="D25" s="1">
        <f>DiameterRocket</f>
        <v>12.7</v>
      </c>
      <c r="E25" s="1" t="s">
        <v>203</v>
      </c>
      <c r="F25" s="1">
        <f>D25/100</f>
        <v>0.127</v>
      </c>
      <c r="G25" s="1" t="s">
        <v>204</v>
      </c>
      <c r="K25" s="326"/>
      <c r="N25" s="348"/>
      <c r="O25" s="67" t="s">
        <v>202</v>
      </c>
      <c r="P25" s="1">
        <f>DiameterRocket</f>
        <v>12.7</v>
      </c>
      <c r="Q25" s="1" t="s">
        <v>203</v>
      </c>
      <c r="R25" s="1">
        <f>P25/100</f>
        <v>0.127</v>
      </c>
      <c r="S25" s="1" t="s">
        <v>204</v>
      </c>
    </row>
    <row r="26" spans="2:22" ht="14.5" customHeight="1">
      <c r="B26" s="348"/>
      <c r="C26" s="68" t="s">
        <v>205</v>
      </c>
      <c r="D26" s="69">
        <v>30</v>
      </c>
      <c r="E26" s="69" t="s">
        <v>203</v>
      </c>
      <c r="F26" s="69">
        <f>D26/100</f>
        <v>0.3</v>
      </c>
      <c r="G26" s="69" t="s">
        <v>204</v>
      </c>
      <c r="K26" s="326"/>
      <c r="N26" s="348"/>
      <c r="O26" s="68" t="s">
        <v>205</v>
      </c>
      <c r="P26" s="69">
        <v>30</v>
      </c>
      <c r="Q26" s="69" t="s">
        <v>203</v>
      </c>
      <c r="R26" s="69">
        <f>P26/100</f>
        <v>0.3</v>
      </c>
      <c r="S26" s="69" t="s">
        <v>204</v>
      </c>
    </row>
    <row r="27" spans="2:22" ht="29.5" customHeight="1">
      <c r="B27" s="2" t="s">
        <v>206</v>
      </c>
      <c r="C27" s="316" t="s">
        <v>207</v>
      </c>
      <c r="D27" s="316"/>
      <c r="E27" s="316"/>
      <c r="F27" s="316"/>
      <c r="G27" s="316"/>
      <c r="L27" s="64"/>
      <c r="M27" s="64"/>
      <c r="N27" s="2" t="s">
        <v>206</v>
      </c>
      <c r="O27" s="316" t="s">
        <v>207</v>
      </c>
      <c r="P27" s="316"/>
      <c r="Q27" s="316"/>
      <c r="R27" s="316"/>
      <c r="S27" s="316"/>
    </row>
    <row r="28" spans="2:22" ht="58">
      <c r="B28" s="2" t="s">
        <v>208</v>
      </c>
      <c r="C28" s="10" t="s">
        <v>209</v>
      </c>
      <c r="D28" s="9"/>
      <c r="E28" s="9"/>
      <c r="F28" s="9"/>
      <c r="G28" s="9"/>
      <c r="L28" s="70"/>
      <c r="M28" s="64"/>
      <c r="N28" s="2" t="s">
        <v>208</v>
      </c>
      <c r="O28" s="10" t="s">
        <v>209</v>
      </c>
      <c r="P28" s="9"/>
      <c r="Q28" s="9"/>
      <c r="R28" s="9"/>
      <c r="S28" s="9"/>
    </row>
    <row r="29" spans="2:22" ht="15" customHeight="1" thickBot="1"/>
    <row r="30" spans="2:22" ht="15" thickBot="1">
      <c r="B30" s="8" t="s">
        <v>191</v>
      </c>
      <c r="H30" s="1" t="s">
        <v>193</v>
      </c>
      <c r="I30" s="1" t="s">
        <v>194</v>
      </c>
      <c r="J30" s="1" t="s">
        <v>195</v>
      </c>
    </row>
    <row r="31" spans="2:22">
      <c r="B31" s="328" t="s">
        <v>210</v>
      </c>
      <c r="C31" s="331"/>
      <c r="D31" s="332"/>
      <c r="E31" s="332"/>
      <c r="F31" s="332"/>
      <c r="G31" s="333"/>
      <c r="H31" s="1">
        <f>H22</f>
        <v>30</v>
      </c>
      <c r="I31" s="1">
        <f>$D$42/2</f>
        <v>6.35</v>
      </c>
      <c r="J31" s="1">
        <f>I31*-1</f>
        <v>-6.35</v>
      </c>
    </row>
    <row r="32" spans="2:22">
      <c r="B32" s="329"/>
      <c r="C32" s="334"/>
      <c r="D32" s="323"/>
      <c r="E32" s="323"/>
      <c r="F32" s="323"/>
      <c r="G32" s="335"/>
      <c r="H32" s="12">
        <f>(D43/8/2)+H31</f>
        <v>36.25</v>
      </c>
      <c r="I32" s="1">
        <f t="shared" ref="I32:I40" si="6">$D$42/2</f>
        <v>6.35</v>
      </c>
      <c r="J32" s="1">
        <f t="shared" ref="J32:J40" si="7">I32*-1</f>
        <v>-6.35</v>
      </c>
    </row>
    <row r="33" spans="2:24">
      <c r="B33" s="329"/>
      <c r="C33" s="334"/>
      <c r="D33" s="323"/>
      <c r="E33" s="323"/>
      <c r="F33" s="323"/>
      <c r="G33" s="335"/>
      <c r="H33" s="12">
        <f>($D$43/8/2)*2+(H32)</f>
        <v>48.75</v>
      </c>
      <c r="I33" s="1">
        <f t="shared" si="6"/>
        <v>6.35</v>
      </c>
      <c r="J33" s="1">
        <f t="shared" si="7"/>
        <v>-6.35</v>
      </c>
    </row>
    <row r="34" spans="2:24">
      <c r="B34" s="329"/>
      <c r="C34" s="334"/>
      <c r="D34" s="323"/>
      <c r="E34" s="323"/>
      <c r="F34" s="323"/>
      <c r="G34" s="335"/>
      <c r="H34" s="12">
        <f t="shared" ref="H34:H39" si="8">($D$43/8/2)*2+(H33)</f>
        <v>61.25</v>
      </c>
      <c r="I34" s="1">
        <f t="shared" si="6"/>
        <v>6.35</v>
      </c>
      <c r="J34" s="1">
        <f t="shared" si="7"/>
        <v>-6.35</v>
      </c>
    </row>
    <row r="35" spans="2:24">
      <c r="B35" s="329"/>
      <c r="C35" s="334"/>
      <c r="D35" s="323"/>
      <c r="E35" s="323"/>
      <c r="F35" s="323"/>
      <c r="G35" s="335"/>
      <c r="H35" s="12">
        <f t="shared" si="8"/>
        <v>73.75</v>
      </c>
      <c r="I35" s="1">
        <f t="shared" si="6"/>
        <v>6.35</v>
      </c>
      <c r="J35" s="1">
        <f t="shared" si="7"/>
        <v>-6.35</v>
      </c>
    </row>
    <row r="36" spans="2:24">
      <c r="B36" s="329"/>
      <c r="C36" s="334"/>
      <c r="D36" s="323"/>
      <c r="E36" s="323"/>
      <c r="F36" s="323"/>
      <c r="G36" s="335"/>
      <c r="H36" s="12">
        <f t="shared" si="8"/>
        <v>86.25</v>
      </c>
      <c r="I36" s="1">
        <f t="shared" si="6"/>
        <v>6.35</v>
      </c>
      <c r="J36" s="1">
        <f t="shared" si="7"/>
        <v>-6.35</v>
      </c>
    </row>
    <row r="37" spans="2:24">
      <c r="B37" s="329"/>
      <c r="C37" s="334"/>
      <c r="D37" s="323"/>
      <c r="E37" s="323"/>
      <c r="F37" s="323"/>
      <c r="G37" s="335"/>
      <c r="H37" s="12">
        <f t="shared" si="8"/>
        <v>98.75</v>
      </c>
      <c r="I37" s="1">
        <f t="shared" si="6"/>
        <v>6.35</v>
      </c>
      <c r="J37" s="1">
        <f t="shared" si="7"/>
        <v>-6.35</v>
      </c>
    </row>
    <row r="38" spans="2:24">
      <c r="B38" s="329"/>
      <c r="C38" s="334"/>
      <c r="D38" s="323"/>
      <c r="E38" s="323"/>
      <c r="F38" s="323"/>
      <c r="G38" s="335"/>
      <c r="H38" s="12">
        <f t="shared" si="8"/>
        <v>111.25</v>
      </c>
      <c r="I38" s="1">
        <f t="shared" si="6"/>
        <v>6.35</v>
      </c>
      <c r="J38" s="1">
        <f t="shared" si="7"/>
        <v>-6.35</v>
      </c>
    </row>
    <row r="39" spans="2:24" ht="14.5" customHeight="1">
      <c r="B39" s="329"/>
      <c r="C39" s="334"/>
      <c r="D39" s="323"/>
      <c r="E39" s="323"/>
      <c r="F39" s="323"/>
      <c r="G39" s="335"/>
      <c r="H39" s="12">
        <f t="shared" si="8"/>
        <v>123.75</v>
      </c>
      <c r="I39" s="1">
        <f t="shared" si="6"/>
        <v>6.35</v>
      </c>
      <c r="J39" s="1">
        <f t="shared" si="7"/>
        <v>-6.35</v>
      </c>
    </row>
    <row r="40" spans="2:24" ht="15" thickBot="1">
      <c r="B40" s="330"/>
      <c r="C40" s="336"/>
      <c r="D40" s="337"/>
      <c r="E40" s="337"/>
      <c r="F40" s="337"/>
      <c r="G40" s="338"/>
      <c r="H40" s="12">
        <f>D43+H22</f>
        <v>130</v>
      </c>
      <c r="I40" s="1">
        <f t="shared" si="6"/>
        <v>6.35</v>
      </c>
      <c r="J40" s="1">
        <f t="shared" si="7"/>
        <v>-6.35</v>
      </c>
    </row>
    <row r="41" spans="2:24" ht="29">
      <c r="B41" s="316" t="s">
        <v>198</v>
      </c>
      <c r="C41" s="1" t="s">
        <v>211</v>
      </c>
      <c r="H41" s="12"/>
    </row>
    <row r="42" spans="2:24">
      <c r="B42" s="323"/>
      <c r="C42" s="1" t="s">
        <v>202</v>
      </c>
      <c r="D42" s="1">
        <f>DiameterRocket</f>
        <v>12.7</v>
      </c>
      <c r="E42" s="1" t="s">
        <v>203</v>
      </c>
      <c r="F42" s="1">
        <f>D42/100</f>
        <v>0.127</v>
      </c>
      <c r="G42" s="1" t="s">
        <v>204</v>
      </c>
      <c r="H42" s="12"/>
    </row>
    <row r="43" spans="2:24" ht="28.9" customHeight="1">
      <c r="B43" s="323"/>
      <c r="C43" s="1" t="s">
        <v>212</v>
      </c>
      <c r="D43" s="1">
        <v>100</v>
      </c>
      <c r="E43" s="1" t="s">
        <v>203</v>
      </c>
      <c r="F43" s="1">
        <f>D43/100</f>
        <v>1</v>
      </c>
      <c r="G43" s="1" t="s">
        <v>204</v>
      </c>
    </row>
    <row r="44" spans="2:24">
      <c r="B44" s="2" t="s">
        <v>206</v>
      </c>
      <c r="C44" s="323" t="s">
        <v>213</v>
      </c>
      <c r="D44" s="323"/>
      <c r="E44" s="323"/>
      <c r="F44" s="323"/>
      <c r="G44" s="323"/>
    </row>
    <row r="45" spans="2:24">
      <c r="B45" s="323" t="s">
        <v>208</v>
      </c>
    </row>
    <row r="46" spans="2:24">
      <c r="B46" s="323"/>
    </row>
    <row r="47" spans="2:24" ht="15" thickBot="1">
      <c r="B47" s="323"/>
    </row>
    <row r="48" spans="2:24" ht="15" customHeight="1" thickBot="1">
      <c r="K48" s="324" t="s">
        <v>214</v>
      </c>
      <c r="L48" s="325"/>
      <c r="W48" s="326" t="s">
        <v>214</v>
      </c>
      <c r="X48" s="326"/>
    </row>
    <row r="49" spans="2:24" ht="15" thickBot="1">
      <c r="B49" s="8" t="s">
        <v>191</v>
      </c>
      <c r="C49" s="324" t="s">
        <v>215</v>
      </c>
      <c r="D49" s="327"/>
      <c r="E49" s="327"/>
      <c r="F49" s="327"/>
      <c r="G49" s="325"/>
      <c r="H49" s="51" t="s">
        <v>193</v>
      </c>
      <c r="I49" s="52" t="s">
        <v>216</v>
      </c>
      <c r="J49" s="53" t="s">
        <v>217</v>
      </c>
      <c r="K49" s="51" t="s">
        <v>218</v>
      </c>
      <c r="L49" s="53" t="s">
        <v>216</v>
      </c>
      <c r="N49" s="8" t="s">
        <v>191</v>
      </c>
      <c r="O49" s="324" t="s">
        <v>219</v>
      </c>
      <c r="P49" s="327"/>
      <c r="Q49" s="327"/>
      <c r="R49" s="327"/>
      <c r="S49" s="325"/>
      <c r="T49" s="1" t="s">
        <v>193</v>
      </c>
      <c r="U49" s="1" t="s">
        <v>216</v>
      </c>
      <c r="V49" s="1" t="s">
        <v>217</v>
      </c>
      <c r="W49" s="1" t="s">
        <v>216</v>
      </c>
      <c r="X49" s="1" t="s">
        <v>220</v>
      </c>
    </row>
    <row r="50" spans="2:24">
      <c r="B50" s="328" t="s">
        <v>221</v>
      </c>
      <c r="C50" s="331"/>
      <c r="D50" s="332"/>
      <c r="E50" s="332"/>
      <c r="F50" s="332"/>
      <c r="G50" s="333"/>
      <c r="H50" s="86">
        <f>($H$40-D68-D65)</f>
        <v>110</v>
      </c>
      <c r="I50" s="87">
        <f t="shared" ref="I50:I58" si="9">IF(((($D$67)/($D$65-$D$64))*(H50-$H$50)+$I$40)&gt;($D$67+$I$40),($D$67+$I$40),(($D$67)/($D$65-$D$64))*(H50-$H$50)+$I$40)</f>
        <v>6.35</v>
      </c>
      <c r="J50" s="88">
        <f>I50*-1</f>
        <v>-6.35</v>
      </c>
      <c r="K50" s="92">
        <f>D61/D60</f>
        <v>84.59999999999998</v>
      </c>
      <c r="L50" s="93">
        <f>0</f>
        <v>0</v>
      </c>
      <c r="N50" s="328" t="s">
        <v>221</v>
      </c>
      <c r="O50" s="331"/>
      <c r="P50" s="332"/>
      <c r="Q50" s="332"/>
      <c r="R50" s="332"/>
      <c r="S50" s="333"/>
      <c r="T50" s="12">
        <f>($H$40-P68-P65)</f>
        <v>110</v>
      </c>
      <c r="U50" s="1">
        <f t="shared" ref="U50:U58" si="10">IF(((($D$67)/($D$65-$D$64))*(T50-$H$50)+$I$40)&gt;($D$67+$I$40),($D$67+$I$40),(($D$67)/($D$65-$D$64))*(T50-$H$50)+$I$40)</f>
        <v>6.35</v>
      </c>
      <c r="V50" s="12">
        <f>U50*-1</f>
        <v>-6.35</v>
      </c>
      <c r="W50" s="1">
        <f>0</f>
        <v>0</v>
      </c>
    </row>
    <row r="51" spans="2:24">
      <c r="B51" s="329"/>
      <c r="C51" s="334"/>
      <c r="D51" s="323"/>
      <c r="E51" s="323"/>
      <c r="F51" s="323"/>
      <c r="G51" s="335"/>
      <c r="H51" s="86">
        <f>(H58-H50)/8/2+H50</f>
        <v>110.9375</v>
      </c>
      <c r="I51" s="87">
        <f t="shared" si="9"/>
        <v>10.1</v>
      </c>
      <c r="J51" s="88">
        <f t="shared" ref="J51:J57" si="11">I51*-1</f>
        <v>-10.1</v>
      </c>
      <c r="K51" s="92">
        <f>H50</f>
        <v>110</v>
      </c>
      <c r="L51" s="93">
        <v>3</v>
      </c>
      <c r="N51" s="329"/>
      <c r="O51" s="334"/>
      <c r="P51" s="323"/>
      <c r="Q51" s="323"/>
      <c r="R51" s="323"/>
      <c r="S51" s="335"/>
      <c r="T51" s="1">
        <f>(T58-T50)/8/2+T50</f>
        <v>110.9375</v>
      </c>
      <c r="U51" s="1">
        <f t="shared" si="10"/>
        <v>10.1</v>
      </c>
      <c r="V51" s="12">
        <f t="shared" ref="V51:V57" si="12">U51*-1</f>
        <v>-10.1</v>
      </c>
      <c r="W51" s="1">
        <v>3</v>
      </c>
      <c r="X51" s="1">
        <v>-3</v>
      </c>
    </row>
    <row r="52" spans="2:24">
      <c r="B52" s="329"/>
      <c r="C52" s="334"/>
      <c r="D52" s="323"/>
      <c r="E52" s="323"/>
      <c r="F52" s="323"/>
      <c r="G52" s="335"/>
      <c r="H52" s="86">
        <f t="shared" ref="H52:H57" si="13">($H$58-$H$50)/8+H51</f>
        <v>112.8125</v>
      </c>
      <c r="I52" s="87">
        <f t="shared" si="9"/>
        <v>17.600000000000001</v>
      </c>
      <c r="J52" s="88">
        <f t="shared" si="11"/>
        <v>-17.600000000000001</v>
      </c>
      <c r="K52" s="86">
        <f>H51</f>
        <v>110.9375</v>
      </c>
      <c r="L52" s="88">
        <f>I51</f>
        <v>10.1</v>
      </c>
      <c r="N52" s="329"/>
      <c r="O52" s="334"/>
      <c r="P52" s="323"/>
      <c r="Q52" s="323"/>
      <c r="R52" s="323"/>
      <c r="S52" s="335"/>
      <c r="T52" s="1">
        <f t="shared" ref="T52:T57" si="14">($H$58-$H$50)/8+T51</f>
        <v>112.8125</v>
      </c>
      <c r="U52" s="1">
        <f t="shared" si="10"/>
        <v>17.600000000000001</v>
      </c>
      <c r="V52" s="12">
        <f t="shared" si="12"/>
        <v>-17.600000000000001</v>
      </c>
      <c r="W52" s="1">
        <v>3.46875</v>
      </c>
      <c r="X52" s="1">
        <v>-3.46875</v>
      </c>
    </row>
    <row r="53" spans="2:24">
      <c r="B53" s="329"/>
      <c r="C53" s="334"/>
      <c r="D53" s="323"/>
      <c r="E53" s="323"/>
      <c r="F53" s="323"/>
      <c r="G53" s="335"/>
      <c r="H53" s="86">
        <f t="shared" si="13"/>
        <v>114.6875</v>
      </c>
      <c r="I53" s="87">
        <f t="shared" si="9"/>
        <v>25.1</v>
      </c>
      <c r="J53" s="88">
        <f t="shared" si="11"/>
        <v>-25.1</v>
      </c>
      <c r="K53" s="86">
        <f t="shared" ref="K53:K57" si="15">H52</f>
        <v>112.8125</v>
      </c>
      <c r="L53" s="88">
        <f t="shared" ref="L53:L57" si="16">I52</f>
        <v>17.600000000000001</v>
      </c>
      <c r="N53" s="329"/>
      <c r="O53" s="334"/>
      <c r="P53" s="323"/>
      <c r="Q53" s="323"/>
      <c r="R53" s="323"/>
      <c r="S53" s="335"/>
      <c r="T53" s="1">
        <f t="shared" si="14"/>
        <v>114.6875</v>
      </c>
      <c r="U53" s="1">
        <f t="shared" si="10"/>
        <v>25.1</v>
      </c>
      <c r="V53" s="12">
        <f t="shared" si="12"/>
        <v>-25.1</v>
      </c>
      <c r="W53" s="1">
        <v>4.40625</v>
      </c>
      <c r="X53" s="1">
        <v>-4.40625</v>
      </c>
    </row>
    <row r="54" spans="2:24">
      <c r="B54" s="329"/>
      <c r="C54" s="334"/>
      <c r="D54" s="323"/>
      <c r="E54" s="323"/>
      <c r="F54" s="323"/>
      <c r="G54" s="335"/>
      <c r="H54" s="86">
        <f t="shared" si="13"/>
        <v>116.5625</v>
      </c>
      <c r="I54" s="87">
        <f t="shared" si="9"/>
        <v>26.35</v>
      </c>
      <c r="J54" s="88">
        <f t="shared" si="11"/>
        <v>-26.35</v>
      </c>
      <c r="K54" s="86">
        <f t="shared" si="15"/>
        <v>114.6875</v>
      </c>
      <c r="L54" s="88">
        <f t="shared" si="16"/>
        <v>25.1</v>
      </c>
      <c r="N54" s="329"/>
      <c r="O54" s="334"/>
      <c r="P54" s="323"/>
      <c r="Q54" s="323"/>
      <c r="R54" s="323"/>
      <c r="S54" s="335"/>
      <c r="T54" s="1">
        <f t="shared" si="14"/>
        <v>116.5625</v>
      </c>
      <c r="U54" s="1">
        <f t="shared" si="10"/>
        <v>26.35</v>
      </c>
      <c r="V54" s="12">
        <f t="shared" si="12"/>
        <v>-26.35</v>
      </c>
      <c r="W54" s="1">
        <v>5.34375</v>
      </c>
      <c r="X54" s="1">
        <v>-5.34375</v>
      </c>
    </row>
    <row r="55" spans="2:24">
      <c r="B55" s="329"/>
      <c r="C55" s="334"/>
      <c r="D55" s="323"/>
      <c r="E55" s="323"/>
      <c r="F55" s="323"/>
      <c r="G55" s="335"/>
      <c r="H55" s="86">
        <f t="shared" si="13"/>
        <v>118.4375</v>
      </c>
      <c r="I55" s="87">
        <f t="shared" si="9"/>
        <v>26.35</v>
      </c>
      <c r="J55" s="88">
        <f t="shared" si="11"/>
        <v>-26.35</v>
      </c>
      <c r="K55" s="86">
        <f t="shared" si="15"/>
        <v>116.5625</v>
      </c>
      <c r="L55" s="88">
        <f t="shared" si="16"/>
        <v>26.35</v>
      </c>
      <c r="N55" s="329"/>
      <c r="O55" s="334"/>
      <c r="P55" s="323"/>
      <c r="Q55" s="323"/>
      <c r="R55" s="323"/>
      <c r="S55" s="335"/>
      <c r="T55" s="1">
        <f t="shared" si="14"/>
        <v>118.4375</v>
      </c>
      <c r="U55" s="1">
        <f t="shared" si="10"/>
        <v>26.35</v>
      </c>
      <c r="V55" s="12">
        <f t="shared" si="12"/>
        <v>-26.35</v>
      </c>
      <c r="W55" s="1">
        <v>6.28125</v>
      </c>
      <c r="X55" s="1">
        <v>-6.28125</v>
      </c>
    </row>
    <row r="56" spans="2:24">
      <c r="B56" s="329"/>
      <c r="C56" s="334"/>
      <c r="D56" s="323"/>
      <c r="E56" s="323"/>
      <c r="F56" s="323"/>
      <c r="G56" s="335"/>
      <c r="H56" s="86">
        <f t="shared" si="13"/>
        <v>120.3125</v>
      </c>
      <c r="I56" s="87">
        <f t="shared" si="9"/>
        <v>26.35</v>
      </c>
      <c r="J56" s="88">
        <f t="shared" si="11"/>
        <v>-26.35</v>
      </c>
      <c r="K56" s="86">
        <f t="shared" si="15"/>
        <v>118.4375</v>
      </c>
      <c r="L56" s="88">
        <f t="shared" si="16"/>
        <v>26.35</v>
      </c>
      <c r="N56" s="329"/>
      <c r="O56" s="334"/>
      <c r="P56" s="323"/>
      <c r="Q56" s="323"/>
      <c r="R56" s="323"/>
      <c r="S56" s="335"/>
      <c r="T56" s="1">
        <f t="shared" si="14"/>
        <v>120.3125</v>
      </c>
      <c r="U56" s="1">
        <f t="shared" si="10"/>
        <v>26.35</v>
      </c>
      <c r="V56" s="12">
        <f t="shared" si="12"/>
        <v>-26.35</v>
      </c>
      <c r="W56" s="1">
        <v>7.21875</v>
      </c>
      <c r="X56" s="1">
        <v>-7.21875</v>
      </c>
    </row>
    <row r="57" spans="2:24">
      <c r="B57" s="329"/>
      <c r="C57" s="334"/>
      <c r="D57" s="323"/>
      <c r="E57" s="323"/>
      <c r="F57" s="323"/>
      <c r="G57" s="335"/>
      <c r="H57" s="86">
        <f t="shared" si="13"/>
        <v>122.1875</v>
      </c>
      <c r="I57" s="87">
        <f t="shared" si="9"/>
        <v>26.35</v>
      </c>
      <c r="J57" s="88">
        <f t="shared" si="11"/>
        <v>-26.35</v>
      </c>
      <c r="K57" s="86">
        <f t="shared" si="15"/>
        <v>120.3125</v>
      </c>
      <c r="L57" s="88">
        <f t="shared" si="16"/>
        <v>26.35</v>
      </c>
      <c r="N57" s="329"/>
      <c r="O57" s="334"/>
      <c r="P57" s="323"/>
      <c r="Q57" s="323"/>
      <c r="R57" s="323"/>
      <c r="S57" s="335"/>
      <c r="T57" s="1">
        <f t="shared" si="14"/>
        <v>122.1875</v>
      </c>
      <c r="U57" s="1">
        <f t="shared" si="10"/>
        <v>26.35</v>
      </c>
      <c r="V57" s="12">
        <f t="shared" si="12"/>
        <v>-26.35</v>
      </c>
      <c r="W57" s="1">
        <v>8</v>
      </c>
      <c r="X57" s="1">
        <v>-8</v>
      </c>
    </row>
    <row r="58" spans="2:24">
      <c r="B58" s="329"/>
      <c r="C58" s="334"/>
      <c r="D58" s="323"/>
      <c r="E58" s="323"/>
      <c r="F58" s="323"/>
      <c r="G58" s="335"/>
      <c r="H58" s="86">
        <f>$H$50+D65</f>
        <v>125</v>
      </c>
      <c r="I58" s="87">
        <f t="shared" si="9"/>
        <v>26.35</v>
      </c>
      <c r="J58" s="88">
        <f>I58*-1</f>
        <v>-26.35</v>
      </c>
      <c r="K58" s="86">
        <f>H58</f>
        <v>125</v>
      </c>
      <c r="L58" s="88">
        <f>IF(((($D$67)/($D$65-$D$64))*(K58-$H$50)+$I$40)&gt;($D$67+$I$40),($D$67+$I$40),(($D$67)/($D$65-$D$64))*(K58-$H$50)+$I$40)</f>
        <v>26.35</v>
      </c>
      <c r="N58" s="329"/>
      <c r="O58" s="334"/>
      <c r="P58" s="323"/>
      <c r="Q58" s="323"/>
      <c r="R58" s="323"/>
      <c r="S58" s="335"/>
      <c r="T58" s="12">
        <f>$H$50+P65</f>
        <v>125</v>
      </c>
      <c r="U58" s="1">
        <f t="shared" si="10"/>
        <v>26.35</v>
      </c>
      <c r="V58" s="12">
        <f>U58*-1</f>
        <v>-26.35</v>
      </c>
      <c r="W58" s="1">
        <v>8</v>
      </c>
      <c r="X58" s="1">
        <v>-8</v>
      </c>
    </row>
    <row r="59" spans="2:24" ht="15" customHeight="1" thickBot="1">
      <c r="B59" s="330"/>
      <c r="C59" s="339"/>
      <c r="D59" s="340"/>
      <c r="E59" s="340"/>
      <c r="F59" s="340"/>
      <c r="G59" s="341"/>
      <c r="H59" s="89">
        <f>H58</f>
        <v>125</v>
      </c>
      <c r="I59" s="90">
        <f>IF(((($D$67)/($D$65-$D$64))*(H59-$H$50)+$I$40)&gt;($D$67+$I$40),($D$67+$I$40),(($D$67)/($D$65-$D$64))*(H59-$H$50)+$I$40)-IF(((($D$67)/($D$65-$D$64))*(H59-$H$50)+$I$40)&gt;($D$67+$I$40),($D$67+$I$40),(($D$67)/($D$65-$D$64))*(H59-$H$50)+$I$40)+$I$40</f>
        <v>6.35</v>
      </c>
      <c r="J59" s="91">
        <f>I59*-1</f>
        <v>-6.35</v>
      </c>
      <c r="K59" s="92">
        <f>K58</f>
        <v>125</v>
      </c>
      <c r="L59" s="93">
        <f>L50</f>
        <v>0</v>
      </c>
      <c r="N59" s="330"/>
      <c r="O59" s="336"/>
      <c r="P59" s="337"/>
      <c r="Q59" s="337"/>
      <c r="R59" s="337"/>
      <c r="S59" s="338"/>
      <c r="T59" s="12">
        <f>T58</f>
        <v>125</v>
      </c>
      <c r="U59" s="1">
        <f>IF(((($D$67)/($D$65-$D$64))*(T59-$H$50)+$I$40)&gt;($D$67+$I$40),($D$67+$I$40),(($D$67)/($D$65-$D$64))*(T59-$H$50)+$I$40)-IF(((($D$67)/($D$65-$D$64))*(T59-$H$50)+$I$40)&gt;($D$67+$I$40),($D$67+$I$40),(($D$67)/($D$65-$D$64))*(T59-$H$50)+$I$40)+$I$40</f>
        <v>6.35</v>
      </c>
      <c r="V59" s="12">
        <f>U59*-1</f>
        <v>-6.35</v>
      </c>
    </row>
    <row r="60" spans="2:24" ht="16.149999999999999" customHeight="1">
      <c r="B60" s="342" t="s">
        <v>198</v>
      </c>
      <c r="C60" s="82" t="s">
        <v>222</v>
      </c>
      <c r="D60" s="54">
        <f>TAN(RADIANS(F60))</f>
        <v>0.24999999999999981</v>
      </c>
      <c r="E60" s="76" t="s">
        <v>223</v>
      </c>
      <c r="F60" s="56">
        <f>90-DEGREES(ATAN(D67/(D65-D64)))</f>
        <v>14.036243467926468</v>
      </c>
      <c r="G60" s="57" t="s">
        <v>224</v>
      </c>
      <c r="H60" s="317" t="s">
        <v>225</v>
      </c>
      <c r="I60" s="318"/>
      <c r="J60" s="319"/>
      <c r="K60" s="82" t="s">
        <v>226</v>
      </c>
      <c r="L60" s="57">
        <f>K67^2/K68</f>
        <v>1.0456349206349203</v>
      </c>
      <c r="N60" s="316" t="s">
        <v>198</v>
      </c>
      <c r="O60" s="1" t="s">
        <v>227</v>
      </c>
    </row>
    <row r="61" spans="2:24" ht="16.149999999999999" customHeight="1" thickBot="1">
      <c r="B61" s="343"/>
      <c r="C61" s="81" t="s">
        <v>228</v>
      </c>
      <c r="D61" s="83">
        <f>-I50+D60*H50</f>
        <v>21.149999999999977</v>
      </c>
      <c r="E61" s="78"/>
      <c r="F61" s="61"/>
      <c r="G61" s="62"/>
      <c r="H61" s="320"/>
      <c r="I61" s="321"/>
      <c r="J61" s="322"/>
      <c r="K61" s="81"/>
      <c r="L61" s="62"/>
      <c r="N61" s="316"/>
    </row>
    <row r="62" spans="2:24" ht="27.65" customHeight="1">
      <c r="B62" s="343"/>
      <c r="C62" s="80" t="s">
        <v>229</v>
      </c>
      <c r="D62" s="190">
        <f>(D63/1000)*(I63/100)</f>
        <v>2.9999999999999997E-4</v>
      </c>
      <c r="E62" s="1" t="s">
        <v>230</v>
      </c>
      <c r="H62" s="84" t="s">
        <v>231</v>
      </c>
      <c r="I62" s="1" t="s">
        <v>232</v>
      </c>
      <c r="L62" s="59"/>
      <c r="N62" s="316"/>
    </row>
    <row r="63" spans="2:24" ht="27.65" customHeight="1">
      <c r="B63" s="343"/>
      <c r="C63" s="80" t="s">
        <v>233</v>
      </c>
      <c r="D63" s="79">
        <v>2</v>
      </c>
      <c r="E63" s="1" t="s">
        <v>234</v>
      </c>
      <c r="H63" s="77" t="s">
        <v>235</v>
      </c>
      <c r="I63" s="1">
        <v>15</v>
      </c>
      <c r="L63" s="59"/>
      <c r="N63" s="316"/>
    </row>
    <row r="64" spans="2:24">
      <c r="B64" s="344"/>
      <c r="C64" s="77" t="s">
        <v>236</v>
      </c>
      <c r="D64" s="58">
        <f>C6</f>
        <v>10</v>
      </c>
      <c r="E64" s="1" t="s">
        <v>203</v>
      </c>
      <c r="F64" s="1">
        <f>D64/100</f>
        <v>0.1</v>
      </c>
      <c r="G64" s="1" t="s">
        <v>204</v>
      </c>
      <c r="H64" s="77" t="s">
        <v>236</v>
      </c>
      <c r="I64" s="1">
        <f>D64</f>
        <v>10</v>
      </c>
      <c r="J64" s="1" t="s">
        <v>203</v>
      </c>
      <c r="K64" s="1">
        <f>I64/100</f>
        <v>0.1</v>
      </c>
      <c r="L64" s="59" t="s">
        <v>204</v>
      </c>
      <c r="N64" s="316"/>
      <c r="O64" s="1" t="s">
        <v>236</v>
      </c>
      <c r="P64" s="1">
        <f>C6</f>
        <v>10</v>
      </c>
      <c r="Q64" s="1" t="s">
        <v>203</v>
      </c>
      <c r="R64" s="1">
        <f>P64/100</f>
        <v>0.1</v>
      </c>
      <c r="S64" s="1" t="s">
        <v>204</v>
      </c>
    </row>
    <row r="65" spans="2:19">
      <c r="B65" s="345"/>
      <c r="C65" s="77" t="s">
        <v>237</v>
      </c>
      <c r="D65" s="58">
        <f>C5</f>
        <v>15</v>
      </c>
      <c r="E65" s="1" t="s">
        <v>203</v>
      </c>
      <c r="F65" s="1">
        <f>D65/100</f>
        <v>0.15</v>
      </c>
      <c r="G65" s="1" t="s">
        <v>204</v>
      </c>
      <c r="H65" s="77" t="s">
        <v>237</v>
      </c>
      <c r="I65" s="12">
        <f>K59-K50</f>
        <v>40.40000000000002</v>
      </c>
      <c r="J65" s="1" t="s">
        <v>203</v>
      </c>
      <c r="K65" s="1">
        <f t="shared" ref="K65:K67" si="17">I65/100</f>
        <v>0.40400000000000019</v>
      </c>
      <c r="L65" s="59" t="s">
        <v>204</v>
      </c>
      <c r="N65" s="323"/>
      <c r="O65" s="1" t="s">
        <v>237</v>
      </c>
      <c r="P65" s="1">
        <f>C5</f>
        <v>15</v>
      </c>
      <c r="Q65" s="1" t="s">
        <v>203</v>
      </c>
      <c r="R65" s="1">
        <f>P65/100</f>
        <v>0.15</v>
      </c>
      <c r="S65" s="1" t="s">
        <v>204</v>
      </c>
    </row>
    <row r="66" spans="2:19">
      <c r="B66" s="345"/>
      <c r="C66" s="77" t="s">
        <v>238</v>
      </c>
      <c r="D66" s="58">
        <f>D64/D65</f>
        <v>0.66666666666666663</v>
      </c>
      <c r="E66" s="1" t="s">
        <v>201</v>
      </c>
      <c r="H66" s="77" t="s">
        <v>238</v>
      </c>
      <c r="I66" s="1">
        <f>I64/I65</f>
        <v>0.24752475247524741</v>
      </c>
      <c r="J66" s="1" t="s">
        <v>201</v>
      </c>
      <c r="K66" s="1">
        <f>I66</f>
        <v>0.24752475247524741</v>
      </c>
      <c r="L66" s="59"/>
      <c r="N66" s="323"/>
    </row>
    <row r="67" spans="2:19">
      <c r="B67" s="345"/>
      <c r="C67" s="77" t="s">
        <v>239</v>
      </c>
      <c r="D67" s="58">
        <f>C9</f>
        <v>20</v>
      </c>
      <c r="E67" s="1" t="s">
        <v>203</v>
      </c>
      <c r="F67" s="1">
        <f>D67/100</f>
        <v>0.2</v>
      </c>
      <c r="G67" s="1" t="s">
        <v>204</v>
      </c>
      <c r="H67" s="77" t="s">
        <v>240</v>
      </c>
      <c r="I67" s="1">
        <f>(D67+D42/2)*2</f>
        <v>52.7</v>
      </c>
      <c r="J67" s="1" t="s">
        <v>203</v>
      </c>
      <c r="K67" s="1">
        <f t="shared" si="17"/>
        <v>0.52700000000000002</v>
      </c>
      <c r="L67" s="59" t="s">
        <v>204</v>
      </c>
      <c r="N67" s="323"/>
      <c r="O67" s="1" t="s">
        <v>239</v>
      </c>
      <c r="P67" s="1">
        <f>C9</f>
        <v>20</v>
      </c>
      <c r="Q67" s="1" t="s">
        <v>203</v>
      </c>
      <c r="R67" s="1">
        <f>P67/100</f>
        <v>0.2</v>
      </c>
      <c r="S67" s="1" t="s">
        <v>204</v>
      </c>
    </row>
    <row r="68" spans="2:19" ht="29.5" thickBot="1">
      <c r="B68" s="346"/>
      <c r="C68" s="78" t="s">
        <v>241</v>
      </c>
      <c r="D68" s="60">
        <v>5</v>
      </c>
      <c r="E68" s="61" t="s">
        <v>203</v>
      </c>
      <c r="F68" s="61">
        <f>D68/100</f>
        <v>0.05</v>
      </c>
      <c r="G68" s="61" t="s">
        <v>204</v>
      </c>
      <c r="H68" s="78" t="s">
        <v>242</v>
      </c>
      <c r="I68" s="61">
        <f>(I64+I65)*(I67/2)</f>
        <v>1328.0400000000006</v>
      </c>
      <c r="J68" s="61" t="s">
        <v>243</v>
      </c>
      <c r="K68" s="61">
        <f>(K64+K65)*K67</f>
        <v>0.26560800000000012</v>
      </c>
      <c r="L68" s="62" t="s">
        <v>230</v>
      </c>
      <c r="N68" s="323"/>
      <c r="O68" s="1" t="s">
        <v>241</v>
      </c>
      <c r="P68" s="1">
        <v>5</v>
      </c>
      <c r="Q68" s="1" t="s">
        <v>203</v>
      </c>
      <c r="R68" s="1">
        <f>P68/100</f>
        <v>0.05</v>
      </c>
      <c r="S68" s="1" t="s">
        <v>204</v>
      </c>
    </row>
    <row r="69" spans="2:19" ht="72.650000000000006" customHeight="1">
      <c r="B69" s="55" t="s">
        <v>206</v>
      </c>
      <c r="C69" s="316" t="s">
        <v>244</v>
      </c>
      <c r="D69" s="316"/>
      <c r="E69" s="316"/>
      <c r="F69" s="316"/>
      <c r="G69" s="316"/>
      <c r="N69" s="2" t="s">
        <v>206</v>
      </c>
      <c r="O69" s="323" t="s">
        <v>245</v>
      </c>
      <c r="P69" s="323"/>
      <c r="Q69" s="323"/>
      <c r="R69" s="323"/>
      <c r="S69" s="323"/>
    </row>
    <row r="70" spans="2:19">
      <c r="B70" s="323" t="s">
        <v>208</v>
      </c>
      <c r="C70" s="66"/>
      <c r="D70" s="65"/>
      <c r="E70" s="65"/>
      <c r="F70" s="65"/>
      <c r="G70" s="94"/>
      <c r="N70" s="323" t="s">
        <v>208</v>
      </c>
    </row>
    <row r="71" spans="2:19">
      <c r="B71" s="323"/>
      <c r="C71" s="67"/>
      <c r="G71" s="95"/>
      <c r="N71" s="323"/>
    </row>
    <row r="72" spans="2:19">
      <c r="B72" s="323"/>
      <c r="C72" s="68"/>
      <c r="D72" s="69"/>
      <c r="E72" s="69"/>
      <c r="F72" s="69"/>
      <c r="G72" s="96"/>
      <c r="N72" s="323"/>
    </row>
    <row r="73" spans="2:19" ht="15" thickBot="1"/>
    <row r="74" spans="2:19" ht="15" thickBot="1">
      <c r="B74" s="85" t="s">
        <v>246</v>
      </c>
    </row>
    <row r="76" spans="2:19" ht="29">
      <c r="B76" s="1" t="s">
        <v>247</v>
      </c>
      <c r="C76" s="1" t="s">
        <v>215</v>
      </c>
      <c r="D76" s="1" t="s">
        <v>248</v>
      </c>
      <c r="E76" s="1" t="s">
        <v>249</v>
      </c>
      <c r="F76" s="1" t="s">
        <v>250</v>
      </c>
      <c r="G76" s="1" t="s">
        <v>251</v>
      </c>
    </row>
    <row r="77" spans="2:19">
      <c r="B77" s="1" t="s">
        <v>236</v>
      </c>
      <c r="C77" s="87">
        <f t="shared" ref="C77:C81" si="18">I64</f>
        <v>10</v>
      </c>
      <c r="D77" s="87">
        <f t="shared" ref="D77:D81" si="19">K64</f>
        <v>0.1</v>
      </c>
      <c r="E77" s="87"/>
      <c r="F77" s="87"/>
      <c r="G77" s="87"/>
    </row>
    <row r="78" spans="2:19">
      <c r="B78" s="1" t="s">
        <v>237</v>
      </c>
      <c r="C78" s="87">
        <f t="shared" si="18"/>
        <v>40.40000000000002</v>
      </c>
      <c r="D78" s="87">
        <f t="shared" si="19"/>
        <v>0.40400000000000019</v>
      </c>
      <c r="E78" s="87"/>
      <c r="F78" s="87"/>
      <c r="G78" s="87"/>
    </row>
    <row r="79" spans="2:19">
      <c r="B79" s="1" t="s">
        <v>238</v>
      </c>
      <c r="C79" s="87">
        <f t="shared" si="18"/>
        <v>0.24752475247524741</v>
      </c>
      <c r="D79" s="87">
        <f t="shared" si="19"/>
        <v>0.24752475247524741</v>
      </c>
      <c r="E79" s="87"/>
      <c r="F79" s="87"/>
      <c r="G79" s="87"/>
    </row>
    <row r="80" spans="2:19">
      <c r="B80" s="1" t="s">
        <v>240</v>
      </c>
      <c r="C80" s="87">
        <f t="shared" si="18"/>
        <v>52.7</v>
      </c>
      <c r="D80" s="87">
        <f t="shared" si="19"/>
        <v>0.52700000000000002</v>
      </c>
      <c r="E80" s="87"/>
      <c r="F80" s="87"/>
      <c r="G80" s="87"/>
    </row>
    <row r="81" spans="2:10">
      <c r="B81" s="1" t="s">
        <v>252</v>
      </c>
      <c r="C81" s="87">
        <f t="shared" si="18"/>
        <v>1328.0400000000006</v>
      </c>
      <c r="D81" s="87">
        <f t="shared" si="19"/>
        <v>0.26560800000000012</v>
      </c>
      <c r="E81" s="87"/>
      <c r="F81" s="87"/>
      <c r="G81" s="87"/>
    </row>
    <row r="86" spans="2:10" ht="15" thickBot="1"/>
    <row r="87" spans="2:10" ht="15" thickBot="1">
      <c r="B87" s="8" t="s">
        <v>191</v>
      </c>
      <c r="H87" s="1" t="s">
        <v>193</v>
      </c>
      <c r="I87" s="1" t="s">
        <v>194</v>
      </c>
      <c r="J87" s="1" t="s">
        <v>195</v>
      </c>
    </row>
    <row r="88" spans="2:10">
      <c r="B88" s="328" t="s">
        <v>253</v>
      </c>
      <c r="C88" s="331"/>
      <c r="D88" s="332"/>
      <c r="E88" s="332"/>
      <c r="F88" s="332"/>
      <c r="G88" s="333"/>
      <c r="H88" s="11">
        <f>H40</f>
        <v>130</v>
      </c>
      <c r="I88" s="11">
        <f>D99/2</f>
        <v>6.35</v>
      </c>
      <c r="J88" s="11">
        <f>I88*-1</f>
        <v>-6.35</v>
      </c>
    </row>
    <row r="89" spans="2:10">
      <c r="B89" s="329"/>
      <c r="C89" s="334"/>
      <c r="D89" s="323"/>
      <c r="E89" s="323"/>
      <c r="F89" s="323"/>
      <c r="G89" s="335"/>
      <c r="H89" s="11">
        <f>($D$100/8/2)+H88</f>
        <v>130.5</v>
      </c>
      <c r="I89" s="11">
        <f>(($I$97-$I$88)/($H$97-$H$88))*(H89-$H$88)+$I$88</f>
        <v>6.09375</v>
      </c>
      <c r="J89" s="11">
        <f t="shared" ref="J89:J98" si="20">I89*-1</f>
        <v>-6.09375</v>
      </c>
    </row>
    <row r="90" spans="2:10">
      <c r="B90" s="329"/>
      <c r="C90" s="334"/>
      <c r="D90" s="323"/>
      <c r="E90" s="323"/>
      <c r="F90" s="323"/>
      <c r="G90" s="335"/>
      <c r="H90" s="11">
        <f>($D$100/8)+H89</f>
        <v>131.5</v>
      </c>
      <c r="I90" s="11">
        <f t="shared" ref="I90:I96" si="21">(($I$97-$I$88)/($H$97-$H$88))*(H90-$H$88)+$I$88</f>
        <v>5.5812499999999998</v>
      </c>
      <c r="J90" s="11">
        <f t="shared" si="20"/>
        <v>-5.5812499999999998</v>
      </c>
    </row>
    <row r="91" spans="2:10">
      <c r="B91" s="329"/>
      <c r="C91" s="334"/>
      <c r="D91" s="323"/>
      <c r="E91" s="323"/>
      <c r="F91" s="323"/>
      <c r="G91" s="335"/>
      <c r="H91" s="11">
        <f t="shared" ref="H91:H96" si="22">($D$100/8)+H90</f>
        <v>132.5</v>
      </c>
      <c r="I91" s="11">
        <f t="shared" si="21"/>
        <v>5.0687499999999996</v>
      </c>
      <c r="J91" s="11">
        <f t="shared" si="20"/>
        <v>-5.0687499999999996</v>
      </c>
    </row>
    <row r="92" spans="2:10">
      <c r="B92" s="329"/>
      <c r="C92" s="334"/>
      <c r="D92" s="323"/>
      <c r="E92" s="323"/>
      <c r="F92" s="323"/>
      <c r="G92" s="335"/>
      <c r="H92" s="11">
        <f t="shared" si="22"/>
        <v>133.5</v>
      </c>
      <c r="I92" s="11">
        <f t="shared" si="21"/>
        <v>4.5562500000000004</v>
      </c>
      <c r="J92" s="11">
        <f t="shared" si="20"/>
        <v>-4.5562500000000004</v>
      </c>
    </row>
    <row r="93" spans="2:10">
      <c r="B93" s="329"/>
      <c r="C93" s="334"/>
      <c r="D93" s="323"/>
      <c r="E93" s="323"/>
      <c r="F93" s="323"/>
      <c r="G93" s="335"/>
      <c r="H93" s="11">
        <f t="shared" si="22"/>
        <v>134.5</v>
      </c>
      <c r="I93" s="11">
        <f t="shared" si="21"/>
        <v>4.0437499999999993</v>
      </c>
      <c r="J93" s="11">
        <f t="shared" si="20"/>
        <v>-4.0437499999999993</v>
      </c>
    </row>
    <row r="94" spans="2:10">
      <c r="B94" s="329"/>
      <c r="C94" s="334"/>
      <c r="D94" s="323"/>
      <c r="E94" s="323"/>
      <c r="F94" s="323"/>
      <c r="G94" s="335"/>
      <c r="H94" s="11">
        <f t="shared" si="22"/>
        <v>135.5</v>
      </c>
      <c r="I94" s="11">
        <f t="shared" si="21"/>
        <v>3.53125</v>
      </c>
      <c r="J94" s="11">
        <f t="shared" si="20"/>
        <v>-3.53125</v>
      </c>
    </row>
    <row r="95" spans="2:10">
      <c r="B95" s="329"/>
      <c r="C95" s="334"/>
      <c r="D95" s="323"/>
      <c r="E95" s="323"/>
      <c r="F95" s="323"/>
      <c r="G95" s="335"/>
      <c r="H95" s="11">
        <f t="shared" si="22"/>
        <v>136.5</v>
      </c>
      <c r="I95" s="11">
        <f t="shared" si="21"/>
        <v>3.0187499999999998</v>
      </c>
      <c r="J95" s="11">
        <f t="shared" si="20"/>
        <v>-3.0187499999999998</v>
      </c>
    </row>
    <row r="96" spans="2:10">
      <c r="B96" s="329"/>
      <c r="C96" s="334"/>
      <c r="D96" s="323"/>
      <c r="E96" s="323"/>
      <c r="F96" s="323"/>
      <c r="G96" s="335"/>
      <c r="H96" s="11">
        <f t="shared" si="22"/>
        <v>137.5</v>
      </c>
      <c r="I96" s="11">
        <f t="shared" si="21"/>
        <v>2.5062500000000001</v>
      </c>
      <c r="J96" s="11">
        <f t="shared" si="20"/>
        <v>-2.5062500000000001</v>
      </c>
    </row>
    <row r="97" spans="2:10" ht="15" thickBot="1">
      <c r="B97" s="330"/>
      <c r="C97" s="336"/>
      <c r="D97" s="337"/>
      <c r="E97" s="337"/>
      <c r="F97" s="337"/>
      <c r="G97" s="338"/>
      <c r="H97" s="11">
        <f>D100+H88</f>
        <v>138</v>
      </c>
      <c r="I97" s="11">
        <f>D98/2</f>
        <v>2.25</v>
      </c>
      <c r="J97" s="11">
        <f t="shared" si="20"/>
        <v>-2.25</v>
      </c>
    </row>
    <row r="98" spans="2:10" ht="29">
      <c r="B98" s="316" t="s">
        <v>198</v>
      </c>
      <c r="C98" s="1" t="s">
        <v>254</v>
      </c>
      <c r="D98" s="1">
        <v>4.5</v>
      </c>
      <c r="H98" s="11">
        <f>H97</f>
        <v>138</v>
      </c>
      <c r="I98" s="1">
        <f>0</f>
        <v>0</v>
      </c>
      <c r="J98" s="1">
        <f t="shared" si="20"/>
        <v>0</v>
      </c>
    </row>
    <row r="99" spans="2:10" ht="29">
      <c r="B99" s="323"/>
      <c r="C99" s="1" t="s">
        <v>255</v>
      </c>
      <c r="D99" s="1">
        <f>DiameterRocket</f>
        <v>12.7</v>
      </c>
      <c r="E99" s="1" t="s">
        <v>203</v>
      </c>
      <c r="F99" s="1">
        <f>D99/100</f>
        <v>0.127</v>
      </c>
      <c r="G99" s="1" t="s">
        <v>204</v>
      </c>
    </row>
    <row r="100" spans="2:10">
      <c r="B100" s="323"/>
      <c r="C100" s="1" t="s">
        <v>212</v>
      </c>
      <c r="D100" s="1">
        <v>8</v>
      </c>
      <c r="E100" s="1" t="s">
        <v>203</v>
      </c>
      <c r="F100" s="1">
        <f>D100/100</f>
        <v>0.08</v>
      </c>
      <c r="G100" s="1" t="s">
        <v>204</v>
      </c>
    </row>
    <row r="101" spans="2:10" ht="33.65" customHeight="1">
      <c r="B101" s="2" t="s">
        <v>206</v>
      </c>
      <c r="C101" s="323" t="s">
        <v>256</v>
      </c>
      <c r="D101" s="323"/>
      <c r="E101" s="323"/>
      <c r="F101" s="323"/>
      <c r="G101" s="323"/>
    </row>
    <row r="102" spans="2:10">
      <c r="B102" s="323" t="s">
        <v>208</v>
      </c>
    </row>
    <row r="103" spans="2:10">
      <c r="B103" s="323"/>
    </row>
    <row r="104" spans="2:10">
      <c r="B104" s="323"/>
    </row>
  </sheetData>
  <mergeCells count="35">
    <mergeCell ref="B2:C2"/>
    <mergeCell ref="B13:B22"/>
    <mergeCell ref="C12:G12"/>
    <mergeCell ref="N13:N22"/>
    <mergeCell ref="B45:B47"/>
    <mergeCell ref="C44:G44"/>
    <mergeCell ref="K23:K26"/>
    <mergeCell ref="N23:N26"/>
    <mergeCell ref="C27:G27"/>
    <mergeCell ref="B23:B26"/>
    <mergeCell ref="B31:B40"/>
    <mergeCell ref="C31:G40"/>
    <mergeCell ref="B41:B43"/>
    <mergeCell ref="C101:G101"/>
    <mergeCell ref="B102:B104"/>
    <mergeCell ref="C49:G49"/>
    <mergeCell ref="B50:B59"/>
    <mergeCell ref="C50:G59"/>
    <mergeCell ref="B60:B68"/>
    <mergeCell ref="C69:G69"/>
    <mergeCell ref="B70:B72"/>
    <mergeCell ref="B88:B97"/>
    <mergeCell ref="C88:G97"/>
    <mergeCell ref="B98:B100"/>
    <mergeCell ref="W48:X48"/>
    <mergeCell ref="O49:S49"/>
    <mergeCell ref="N50:N59"/>
    <mergeCell ref="O50:S59"/>
    <mergeCell ref="N60:N68"/>
    <mergeCell ref="O12:S12"/>
    <mergeCell ref="O27:S27"/>
    <mergeCell ref="H60:J61"/>
    <mergeCell ref="N70:N72"/>
    <mergeCell ref="O69:S69"/>
    <mergeCell ref="K48:L48"/>
  </mergeCells>
  <hyperlinks>
    <hyperlink ref="C28" r:id="rId1" display="https://www.youtube.com/watch?v=-05AlwGI7Jo" xr:uid="{00000000-0004-0000-0200-000000000000}"/>
    <hyperlink ref="O28" r:id="rId2" display="https://www.youtube.com/watch?v=-05AlwGI7Jo" xr:uid="{00000000-0004-0000-0200-000001000000}"/>
  </hyperlinks>
  <pageMargins left="0.7" right="0.7" top="0.75" bottom="0.75" header="0.3" footer="0.3"/>
  <pageSetup orientation="portrait" r:id="rId3"/>
  <customProperties>
    <customPr name="DynardoMOPSolver" r:id="rId4"/>
  </customProperties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4:V64"/>
  <sheetViews>
    <sheetView topLeftCell="A4" zoomScale="84" zoomScaleNormal="120" workbookViewId="0">
      <selection activeCell="T25" sqref="T25"/>
    </sheetView>
  </sheetViews>
  <sheetFormatPr defaultColWidth="8.90625" defaultRowHeight="14.5"/>
  <cols>
    <col min="1" max="1" width="4.7265625" style="14" customWidth="1"/>
    <col min="2" max="2" width="20" style="14" customWidth="1"/>
    <col min="3" max="3" width="10.26953125" style="14" customWidth="1"/>
    <col min="4" max="6" width="9" style="14" bestFit="1" customWidth="1"/>
    <col min="7" max="7" width="13" style="14" bestFit="1" customWidth="1"/>
    <col min="8" max="8" width="10.6328125" style="14" bestFit="1" customWidth="1"/>
    <col min="9" max="9" width="9" style="14" bestFit="1" customWidth="1"/>
    <col min="10" max="10" width="8.90625" style="14"/>
    <col min="11" max="11" width="17.36328125" style="14" customWidth="1"/>
    <col min="12" max="12" width="10.08984375" style="14" bestFit="1" customWidth="1"/>
    <col min="13" max="13" width="9" style="14" bestFit="1" customWidth="1"/>
    <col min="14" max="14" width="11.6328125" style="14" customWidth="1"/>
    <col min="15" max="15" width="13.26953125" style="14" customWidth="1"/>
    <col min="16" max="16" width="9" style="14" bestFit="1" customWidth="1"/>
    <col min="17" max="17" width="14.90625" style="14" customWidth="1"/>
    <col min="18" max="18" width="9" style="14" bestFit="1" customWidth="1"/>
    <col min="19" max="19" width="8.90625" style="14"/>
    <col min="20" max="20" width="13" style="14" bestFit="1" customWidth="1"/>
    <col min="21" max="21" width="12.7265625" style="14" bestFit="1" customWidth="1"/>
    <col min="22" max="22" width="11.26953125" style="14" bestFit="1" customWidth="1"/>
    <col min="23" max="16384" width="8.90625" style="14"/>
  </cols>
  <sheetData>
    <row r="14" spans="2:22" ht="15" thickBot="1"/>
    <row r="15" spans="2:22" ht="15" thickBot="1">
      <c r="B15" s="172" t="s">
        <v>257</v>
      </c>
      <c r="C15" s="173" t="s">
        <v>258</v>
      </c>
      <c r="D15" s="173"/>
      <c r="E15" s="173"/>
      <c r="F15" s="174"/>
      <c r="K15" s="172" t="s">
        <v>257</v>
      </c>
      <c r="L15" s="173"/>
      <c r="M15" s="173"/>
      <c r="N15" s="173"/>
      <c r="O15" s="174"/>
      <c r="T15" s="352" t="s">
        <v>259</v>
      </c>
      <c r="U15" s="353"/>
      <c r="V15" s="354"/>
    </row>
    <row r="16" spans="2:22" ht="15" thickBot="1">
      <c r="B16" s="261" t="s">
        <v>203</v>
      </c>
      <c r="C16" s="15" t="s">
        <v>260</v>
      </c>
      <c r="D16" s="16" t="s">
        <v>261</v>
      </c>
      <c r="E16" s="16" t="s">
        <v>262</v>
      </c>
      <c r="F16" s="17" t="s">
        <v>263</v>
      </c>
      <c r="G16" s="26" t="s">
        <v>264</v>
      </c>
      <c r="H16" s="27" t="s">
        <v>265</v>
      </c>
      <c r="I16" s="28" t="s">
        <v>266</v>
      </c>
      <c r="K16" s="261" t="s">
        <v>267</v>
      </c>
      <c r="L16" s="15" t="s">
        <v>268</v>
      </c>
      <c r="M16" s="16" t="s">
        <v>261</v>
      </c>
      <c r="N16" s="16" t="s">
        <v>262</v>
      </c>
      <c r="O16" s="17" t="s">
        <v>263</v>
      </c>
      <c r="P16" s="26" t="s">
        <v>264</v>
      </c>
      <c r="Q16" s="27" t="s">
        <v>265</v>
      </c>
      <c r="R16" s="28" t="s">
        <v>266</v>
      </c>
      <c r="T16" s="40">
        <v>2.3888E-3</v>
      </c>
      <c r="U16" s="41">
        <v>7.2800000000000009E-3</v>
      </c>
      <c r="V16" s="42">
        <v>-2.6000000000000003E-3</v>
      </c>
    </row>
    <row r="17" spans="2:22">
      <c r="B17" s="18" t="s">
        <v>269</v>
      </c>
      <c r="C17" s="19">
        <v>300</v>
      </c>
      <c r="D17" s="20">
        <v>20</v>
      </c>
      <c r="E17" s="20">
        <v>0</v>
      </c>
      <c r="F17" s="20">
        <v>0</v>
      </c>
      <c r="G17" s="26">
        <f>$C$17*D17*9.81</f>
        <v>58860</v>
      </c>
      <c r="H17" s="27">
        <f t="shared" ref="H17:I17" si="0">$C$17*E17*9.81</f>
        <v>0</v>
      </c>
      <c r="I17" s="28">
        <f t="shared" si="0"/>
        <v>0</v>
      </c>
      <c r="K17" s="18" t="s">
        <v>269</v>
      </c>
      <c r="L17" s="19">
        <f>C17/1000</f>
        <v>0.3</v>
      </c>
      <c r="M17" s="20">
        <f>D17/100</f>
        <v>0.2</v>
      </c>
      <c r="N17" s="20">
        <f t="shared" ref="N17:O17" si="1">E17/100</f>
        <v>0</v>
      </c>
      <c r="O17" s="20">
        <f t="shared" si="1"/>
        <v>0</v>
      </c>
      <c r="P17" s="26">
        <f>$L$17*M17*9.81</f>
        <v>0.58860000000000001</v>
      </c>
      <c r="Q17" s="27">
        <f t="shared" ref="Q17:R17" si="2">$L$17*N17*9.81</f>
        <v>0</v>
      </c>
      <c r="R17" s="28">
        <f t="shared" si="2"/>
        <v>0</v>
      </c>
      <c r="T17" s="43">
        <v>7.2800000000000009E-3</v>
      </c>
      <c r="U17" s="44">
        <v>1.7821174</v>
      </c>
      <c r="V17" s="45">
        <v>-6.7600000000000017E-5</v>
      </c>
    </row>
    <row r="18" spans="2:22" ht="15" thickBot="1">
      <c r="B18" s="22" t="s">
        <v>270</v>
      </c>
      <c r="C18" s="19">
        <v>280</v>
      </c>
      <c r="D18" s="20">
        <v>80</v>
      </c>
      <c r="E18" s="20">
        <v>0</v>
      </c>
      <c r="F18" s="20">
        <v>0</v>
      </c>
      <c r="G18" s="19">
        <f>$C$18*D18*9.81</f>
        <v>219744</v>
      </c>
      <c r="H18" s="20">
        <f t="shared" ref="H18:I18" si="3">$C$18*E18*9.81</f>
        <v>0</v>
      </c>
      <c r="I18" s="21">
        <f t="shared" si="3"/>
        <v>0</v>
      </c>
      <c r="K18" s="22" t="s">
        <v>270</v>
      </c>
      <c r="L18" s="19">
        <f t="shared" ref="L18:L27" si="4">C18/1000</f>
        <v>0.28000000000000003</v>
      </c>
      <c r="M18" s="20">
        <f t="shared" ref="M18:M27" si="5">D18/100</f>
        <v>0.8</v>
      </c>
      <c r="N18" s="20">
        <f t="shared" ref="N18:N27" si="6">E18/100</f>
        <v>0</v>
      </c>
      <c r="O18" s="20">
        <f t="shared" ref="O18:O27" si="7">F18/100</f>
        <v>0</v>
      </c>
      <c r="P18" s="19">
        <f>$L$18*M18*9.81</f>
        <v>2.1974400000000003</v>
      </c>
      <c r="Q18" s="20">
        <f t="shared" ref="Q18:R18" si="8">$L$18*N18*9.81</f>
        <v>0</v>
      </c>
      <c r="R18" s="21">
        <f t="shared" si="8"/>
        <v>0</v>
      </c>
      <c r="T18" s="46">
        <v>-2.6000000000000003E-3</v>
      </c>
      <c r="U18" s="47">
        <v>-6.7600000000000017E-5</v>
      </c>
      <c r="V18" s="48">
        <v>1.7821174</v>
      </c>
    </row>
    <row r="19" spans="2:22">
      <c r="B19" s="22" t="s">
        <v>271</v>
      </c>
      <c r="C19" s="19">
        <v>150</v>
      </c>
      <c r="D19" s="20">
        <v>120</v>
      </c>
      <c r="E19" s="20">
        <v>6</v>
      </c>
      <c r="F19" s="20">
        <v>0</v>
      </c>
      <c r="G19" s="19">
        <f>$C$19*D19*9.81</f>
        <v>176580</v>
      </c>
      <c r="H19" s="20">
        <f t="shared" ref="H19:I19" si="9">$C$19*E19*9.81</f>
        <v>8829</v>
      </c>
      <c r="I19" s="21">
        <f t="shared" si="9"/>
        <v>0</v>
      </c>
      <c r="K19" s="22" t="s">
        <v>271</v>
      </c>
      <c r="L19" s="19">
        <f>C19/1000</f>
        <v>0.15</v>
      </c>
      <c r="M19" s="20">
        <f>D19/100</f>
        <v>1.2</v>
      </c>
      <c r="N19" s="20">
        <f t="shared" si="6"/>
        <v>0.06</v>
      </c>
      <c r="O19" s="20">
        <f t="shared" si="7"/>
        <v>0</v>
      </c>
      <c r="P19" s="19">
        <f>$L$19*M19*9.81</f>
        <v>1.7658</v>
      </c>
      <c r="Q19" s="20">
        <f>$L$19*N19*9.81</f>
        <v>8.8289999999999993E-2</v>
      </c>
      <c r="R19" s="21">
        <f t="shared" ref="R19:R20" si="10">$L$21*O19*9.81</f>
        <v>0</v>
      </c>
    </row>
    <row r="20" spans="2:22">
      <c r="B20" s="22" t="s">
        <v>272</v>
      </c>
      <c r="C20" s="19">
        <v>150</v>
      </c>
      <c r="D20" s="20">
        <v>120</v>
      </c>
      <c r="E20" s="20">
        <v>-6</v>
      </c>
      <c r="F20" s="20">
        <v>0</v>
      </c>
      <c r="G20" s="19">
        <f>$C$20*D20*9.81</f>
        <v>176580</v>
      </c>
      <c r="H20" s="20">
        <f t="shared" ref="H20:I20" si="11">$C$20*E20*9.81</f>
        <v>-8829</v>
      </c>
      <c r="I20" s="21">
        <f t="shared" si="11"/>
        <v>0</v>
      </c>
      <c r="K20" s="22" t="s">
        <v>272</v>
      </c>
      <c r="L20" s="19">
        <f t="shared" ref="L20:L22" si="12">C20/1000</f>
        <v>0.15</v>
      </c>
      <c r="M20" s="20">
        <f>D20/100</f>
        <v>1.2</v>
      </c>
      <c r="N20" s="20">
        <f t="shared" ref="N20:N22" si="13">E20/100</f>
        <v>-0.06</v>
      </c>
      <c r="O20" s="20">
        <f t="shared" ref="O20:O22" si="14">F20/100</f>
        <v>0</v>
      </c>
      <c r="P20" s="19">
        <f t="shared" ref="P20" si="15">$L$21*M20*9.81</f>
        <v>1.7658</v>
      </c>
      <c r="Q20" s="20">
        <f t="shared" ref="Q20" si="16">$L$21*N20*9.81</f>
        <v>-8.8289999999999993E-2</v>
      </c>
      <c r="R20" s="21">
        <f t="shared" si="10"/>
        <v>0</v>
      </c>
    </row>
    <row r="21" spans="2:22" ht="15" thickBot="1">
      <c r="B21" s="22" t="s">
        <v>273</v>
      </c>
      <c r="C21" s="19">
        <v>150</v>
      </c>
      <c r="D21" s="20">
        <v>120</v>
      </c>
      <c r="E21" s="20">
        <v>0</v>
      </c>
      <c r="F21" s="20">
        <v>6</v>
      </c>
      <c r="G21" s="19">
        <f>$C$21*D21*9.81</f>
        <v>176580</v>
      </c>
      <c r="H21" s="20">
        <f t="shared" ref="H21:I21" si="17">$C$21*E21*9.81</f>
        <v>0</v>
      </c>
      <c r="I21" s="21">
        <f t="shared" si="17"/>
        <v>8829</v>
      </c>
      <c r="K21" s="22" t="s">
        <v>273</v>
      </c>
      <c r="L21" s="19">
        <f t="shared" si="12"/>
        <v>0.15</v>
      </c>
      <c r="M21" s="20">
        <f t="shared" ref="M21:M22" si="18">D21/100</f>
        <v>1.2</v>
      </c>
      <c r="N21" s="20">
        <f t="shared" si="13"/>
        <v>0</v>
      </c>
      <c r="O21" s="20">
        <f t="shared" si="14"/>
        <v>0.06</v>
      </c>
      <c r="P21" s="19">
        <f>$L$21*M21*9.81</f>
        <v>1.7658</v>
      </c>
      <c r="Q21" s="20">
        <f t="shared" ref="Q21:R21" si="19">$L$21*N21*9.81</f>
        <v>0</v>
      </c>
      <c r="R21" s="21">
        <f t="shared" si="19"/>
        <v>8.8289999999999993E-2</v>
      </c>
    </row>
    <row r="22" spans="2:22" ht="15" thickBot="1">
      <c r="B22" s="22" t="s">
        <v>274</v>
      </c>
      <c r="C22" s="19">
        <v>150</v>
      </c>
      <c r="D22" s="20">
        <v>120</v>
      </c>
      <c r="E22" s="20">
        <v>0</v>
      </c>
      <c r="F22" s="20">
        <v>-6</v>
      </c>
      <c r="G22" s="19">
        <f>$C$22*D22*9.81</f>
        <v>176580</v>
      </c>
      <c r="H22" s="20">
        <f t="shared" ref="H22:I22" si="20">$C$22*E22*9.81</f>
        <v>0</v>
      </c>
      <c r="I22" s="21">
        <f t="shared" si="20"/>
        <v>-8829</v>
      </c>
      <c r="K22" s="22" t="s">
        <v>274</v>
      </c>
      <c r="L22" s="19">
        <f t="shared" si="12"/>
        <v>0.15</v>
      </c>
      <c r="M22" s="20">
        <f t="shared" si="18"/>
        <v>1.2</v>
      </c>
      <c r="N22" s="20">
        <f t="shared" si="13"/>
        <v>0</v>
      </c>
      <c r="O22" s="20">
        <f t="shared" si="14"/>
        <v>-0.06</v>
      </c>
      <c r="P22" s="19">
        <f>$L$21*M22*9.81</f>
        <v>1.7658</v>
      </c>
      <c r="Q22" s="20">
        <f t="shared" ref="Q22" si="21">$L$21*N22*9.81</f>
        <v>0</v>
      </c>
      <c r="R22" s="21">
        <f t="shared" ref="R22" si="22">$L$21*O22*9.81</f>
        <v>-8.8289999999999993E-2</v>
      </c>
      <c r="T22" s="39" t="s">
        <v>275</v>
      </c>
    </row>
    <row r="23" spans="2:22" ht="15" thickBot="1">
      <c r="B23" s="22" t="s">
        <v>276</v>
      </c>
      <c r="C23" s="19">
        <v>0</v>
      </c>
      <c r="D23" s="20">
        <v>0</v>
      </c>
      <c r="E23" s="20">
        <v>0</v>
      </c>
      <c r="F23" s="20">
        <v>0</v>
      </c>
      <c r="G23" s="19">
        <f>$C$23*D23*9.81</f>
        <v>0</v>
      </c>
      <c r="H23" s="20">
        <f t="shared" ref="H23:I23" si="23">$C$23*E23*9.81</f>
        <v>0</v>
      </c>
      <c r="I23" s="21">
        <f t="shared" si="23"/>
        <v>0</v>
      </c>
      <c r="K23" s="22" t="s">
        <v>276</v>
      </c>
      <c r="L23" s="19">
        <f t="shared" si="4"/>
        <v>0</v>
      </c>
      <c r="M23" s="20">
        <f t="shared" si="5"/>
        <v>0</v>
      </c>
      <c r="N23" s="20">
        <f t="shared" si="6"/>
        <v>0</v>
      </c>
      <c r="O23" s="20">
        <f t="shared" si="7"/>
        <v>0</v>
      </c>
      <c r="P23" s="19">
        <f>$L$23*M23*9.81</f>
        <v>0</v>
      </c>
      <c r="Q23" s="20">
        <f t="shared" ref="Q23:R23" si="24">$L$23*N23*9.81</f>
        <v>0</v>
      </c>
      <c r="R23" s="21">
        <f t="shared" si="24"/>
        <v>0</v>
      </c>
      <c r="T23" s="355" t="s">
        <v>259</v>
      </c>
      <c r="U23" s="356"/>
      <c r="V23" s="357"/>
    </row>
    <row r="24" spans="2:22">
      <c r="B24" s="22" t="s">
        <v>277</v>
      </c>
      <c r="C24" s="19">
        <v>260</v>
      </c>
      <c r="D24" s="20">
        <v>40</v>
      </c>
      <c r="E24" s="20">
        <v>1</v>
      </c>
      <c r="F24" s="20">
        <v>-1</v>
      </c>
      <c r="G24" s="19">
        <f>$C$24*D24*9.81</f>
        <v>102024</v>
      </c>
      <c r="H24" s="20">
        <f t="shared" ref="H24:I24" si="25">$C$24*E24*9.81</f>
        <v>2550.6</v>
      </c>
      <c r="I24" s="21">
        <f t="shared" si="25"/>
        <v>-2550.6</v>
      </c>
      <c r="K24" s="22" t="s">
        <v>277</v>
      </c>
      <c r="L24" s="19">
        <f t="shared" si="4"/>
        <v>0.26</v>
      </c>
      <c r="M24" s="20">
        <f t="shared" si="5"/>
        <v>0.4</v>
      </c>
      <c r="N24" s="20">
        <f t="shared" si="6"/>
        <v>0.01</v>
      </c>
      <c r="O24" s="20">
        <f t="shared" si="7"/>
        <v>-0.01</v>
      </c>
      <c r="P24" s="19">
        <f>$L$24*M24*9.81</f>
        <v>1.02024</v>
      </c>
      <c r="Q24" s="20">
        <f t="shared" ref="Q24:R24" si="26">$L$24*N24*9.81</f>
        <v>2.5506000000000004E-2</v>
      </c>
      <c r="R24" s="21">
        <f t="shared" si="26"/>
        <v>-2.5506000000000004E-2</v>
      </c>
      <c r="T24" s="31" t="s">
        <v>278</v>
      </c>
      <c r="U24" s="32" t="s">
        <v>279</v>
      </c>
      <c r="V24" s="33" t="s">
        <v>280</v>
      </c>
    </row>
    <row r="25" spans="2:22">
      <c r="B25" s="22" t="s">
        <v>281</v>
      </c>
      <c r="C25" s="19">
        <v>650</v>
      </c>
      <c r="D25" s="20">
        <v>60</v>
      </c>
      <c r="E25" s="20">
        <v>1.6</v>
      </c>
      <c r="F25" s="20">
        <v>-0.4</v>
      </c>
      <c r="G25" s="19">
        <f>$C$25*D25*9.81</f>
        <v>382590</v>
      </c>
      <c r="H25" s="20">
        <f t="shared" ref="H25:I25" si="27">$C$25*E25*9.81</f>
        <v>10202.4</v>
      </c>
      <c r="I25" s="21">
        <f t="shared" si="27"/>
        <v>-2550.6</v>
      </c>
      <c r="K25" s="22" t="s">
        <v>281</v>
      </c>
      <c r="L25" s="19">
        <f t="shared" si="4"/>
        <v>0.65</v>
      </c>
      <c r="M25" s="20">
        <f t="shared" si="5"/>
        <v>0.6</v>
      </c>
      <c r="N25" s="20">
        <f t="shared" si="6"/>
        <v>1.6E-2</v>
      </c>
      <c r="O25" s="20">
        <f t="shared" si="7"/>
        <v>-4.0000000000000001E-3</v>
      </c>
      <c r="P25" s="19">
        <f>$L$25*M25*9.81</f>
        <v>3.8259000000000003</v>
      </c>
      <c r="Q25" s="20">
        <f>$L$25*N25*9.81</f>
        <v>0.10202400000000002</v>
      </c>
      <c r="R25" s="21">
        <f>$L$25*O25*9.81</f>
        <v>-2.5506000000000004E-2</v>
      </c>
      <c r="T25" s="34" t="s">
        <v>282</v>
      </c>
      <c r="U25" s="30" t="s">
        <v>283</v>
      </c>
      <c r="V25" s="35" t="s">
        <v>284</v>
      </c>
    </row>
    <row r="26" spans="2:22" ht="15" thickBot="1">
      <c r="B26" s="22" t="s">
        <v>285</v>
      </c>
      <c r="C26" s="19">
        <v>121</v>
      </c>
      <c r="D26" s="20">
        <v>120</v>
      </c>
      <c r="E26" s="20">
        <v>0</v>
      </c>
      <c r="F26" s="20">
        <v>0</v>
      </c>
      <c r="G26" s="19">
        <f>$C$26*D26*9.81</f>
        <v>142441.20000000001</v>
      </c>
      <c r="H26" s="20">
        <f t="shared" ref="H26:I26" si="28">$C$26*E26*9.81</f>
        <v>0</v>
      </c>
      <c r="I26" s="21">
        <f t="shared" si="28"/>
        <v>0</v>
      </c>
      <c r="K26" s="22" t="s">
        <v>286</v>
      </c>
      <c r="L26" s="19">
        <f t="shared" si="4"/>
        <v>0.121</v>
      </c>
      <c r="M26" s="20">
        <f t="shared" si="5"/>
        <v>1.2</v>
      </c>
      <c r="N26" s="20">
        <f t="shared" si="6"/>
        <v>0</v>
      </c>
      <c r="O26" s="20">
        <f t="shared" si="7"/>
        <v>0</v>
      </c>
      <c r="P26" s="19">
        <f>$L$26*M26*9.81</f>
        <v>1.424412</v>
      </c>
      <c r="Q26" s="20">
        <f t="shared" ref="Q26:R26" si="29">$L$26*N26*9.81</f>
        <v>0</v>
      </c>
      <c r="R26" s="21">
        <f t="shared" si="29"/>
        <v>0</v>
      </c>
      <c r="T26" s="36" t="s">
        <v>287</v>
      </c>
      <c r="U26" s="37" t="s">
        <v>284</v>
      </c>
      <c r="V26" s="38" t="s">
        <v>288</v>
      </c>
    </row>
    <row r="27" spans="2:22">
      <c r="B27" s="22" t="s">
        <v>289</v>
      </c>
      <c r="C27" s="19">
        <v>1000</v>
      </c>
      <c r="D27" s="20">
        <v>25</v>
      </c>
      <c r="E27" s="20">
        <v>0</v>
      </c>
      <c r="F27" s="20">
        <v>0</v>
      </c>
      <c r="G27" s="19">
        <f>$C$27*D27*9.81</f>
        <v>245250</v>
      </c>
      <c r="H27" s="20">
        <f>$C$27*E27*9.81</f>
        <v>0</v>
      </c>
      <c r="I27" s="21">
        <f>$C$27*F27*9.81</f>
        <v>0</v>
      </c>
      <c r="K27" s="22" t="s">
        <v>289</v>
      </c>
      <c r="L27" s="19">
        <f t="shared" si="4"/>
        <v>1</v>
      </c>
      <c r="M27" s="20">
        <f t="shared" si="5"/>
        <v>0.25</v>
      </c>
      <c r="N27" s="20">
        <f t="shared" si="6"/>
        <v>0</v>
      </c>
      <c r="O27" s="20">
        <f t="shared" si="7"/>
        <v>0</v>
      </c>
      <c r="P27" s="19">
        <f>$L$27*M27*9.81</f>
        <v>2.4525000000000001</v>
      </c>
      <c r="Q27" s="20">
        <f t="shared" ref="Q27:R27" si="30">$L$27*N27*9.81</f>
        <v>0</v>
      </c>
      <c r="R27" s="21">
        <f t="shared" si="30"/>
        <v>0</v>
      </c>
    </row>
    <row r="28" spans="2:22" ht="15" thickBot="1">
      <c r="B28" s="22" t="s">
        <v>290</v>
      </c>
      <c r="C28" s="19">
        <f>SUM(C17:C27)</f>
        <v>3211</v>
      </c>
      <c r="D28" s="63">
        <f>G28/($C$28*9.81)</f>
        <v>58.959825599501713</v>
      </c>
      <c r="E28" s="63">
        <f>H28/($C$28*9.81)</f>
        <v>0.40485829959514169</v>
      </c>
      <c r="F28" s="63">
        <f>I28/($C$28*9.81)</f>
        <v>-0.16194331983805668</v>
      </c>
      <c r="G28" s="23">
        <f>SUM(G17:G27)</f>
        <v>1857229.2</v>
      </c>
      <c r="H28" s="24">
        <f>SUM(H17:H27)</f>
        <v>12753</v>
      </c>
      <c r="I28" s="25">
        <f t="shared" ref="I28" si="31">SUM(I17:I27)</f>
        <v>-5101.2</v>
      </c>
      <c r="K28" s="22" t="s">
        <v>290</v>
      </c>
      <c r="L28" s="19">
        <f>SUM(L17:L27)</f>
        <v>3.2109999999999999</v>
      </c>
      <c r="M28" s="263">
        <f>P28/($L$28*9.81)</f>
        <v>0.58959825599501714</v>
      </c>
      <c r="N28" s="263">
        <f>Q28/($L$28*9.81)</f>
        <v>4.0485829959514179E-3</v>
      </c>
      <c r="O28" s="263">
        <f>R28/($L$28*9.81)</f>
        <v>-1.6194331983805672E-3</v>
      </c>
      <c r="P28" s="23">
        <f>SUM(P17:P27)</f>
        <v>18.572292000000001</v>
      </c>
      <c r="Q28" s="24">
        <f>SUM(Q17:Q27)</f>
        <v>0.12753000000000003</v>
      </c>
      <c r="R28" s="25">
        <f>SUM(R17:R27)</f>
        <v>-5.1012000000000009E-2</v>
      </c>
    </row>
    <row r="29" spans="2:22" ht="29.5" thickBot="1">
      <c r="B29" s="50" t="s">
        <v>291</v>
      </c>
      <c r="C29" s="15"/>
      <c r="D29" s="16"/>
      <c r="E29" s="16"/>
      <c r="F29" s="17"/>
      <c r="G29" s="20"/>
      <c r="I29" s="20"/>
      <c r="K29" s="49" t="s">
        <v>291</v>
      </c>
      <c r="L29" s="15"/>
      <c r="M29" s="16"/>
      <c r="N29" s="16"/>
      <c r="O29" s="17"/>
      <c r="P29" s="20"/>
      <c r="Q29" s="20"/>
      <c r="R29" s="20"/>
    </row>
    <row r="31" spans="2:22" ht="15" thickBot="1"/>
    <row r="32" spans="2:22" ht="15" thickBot="1">
      <c r="B32" s="172" t="s">
        <v>292</v>
      </c>
      <c r="C32" s="185"/>
      <c r="D32" s="185"/>
      <c r="E32" s="185"/>
      <c r="F32" s="186"/>
    </row>
    <row r="33" spans="2:19" ht="15" thickBot="1">
      <c r="B33" s="175" t="s">
        <v>234</v>
      </c>
      <c r="C33" s="169" t="s">
        <v>260</v>
      </c>
      <c r="D33" s="170" t="s">
        <v>261</v>
      </c>
      <c r="E33" s="170" t="s">
        <v>262</v>
      </c>
      <c r="F33" s="171" t="s">
        <v>263</v>
      </c>
      <c r="G33" s="169" t="s">
        <v>264</v>
      </c>
      <c r="H33" s="170" t="s">
        <v>265</v>
      </c>
      <c r="I33" s="171" t="s">
        <v>266</v>
      </c>
      <c r="K33" s="358" t="s">
        <v>293</v>
      </c>
      <c r="L33" s="359"/>
      <c r="M33" s="359"/>
      <c r="N33" s="359"/>
      <c r="O33" s="359"/>
      <c r="P33" s="359"/>
      <c r="Q33" s="359"/>
      <c r="R33" s="359"/>
      <c r="S33" s="360"/>
    </row>
    <row r="34" spans="2:19">
      <c r="B34" s="176" t="s">
        <v>294</v>
      </c>
      <c r="C34" s="18"/>
      <c r="D34" s="179"/>
      <c r="E34" s="179"/>
      <c r="F34" s="180"/>
      <c r="G34" s="18"/>
      <c r="H34" s="179"/>
      <c r="I34" s="180"/>
      <c r="K34" s="22" t="s">
        <v>295</v>
      </c>
      <c r="N34" s="97"/>
      <c r="O34" s="14" t="s">
        <v>296</v>
      </c>
      <c r="Q34" s="14" t="s">
        <v>297</v>
      </c>
      <c r="R34" s="259" t="s">
        <v>193</v>
      </c>
      <c r="S34" s="181" t="s">
        <v>298</v>
      </c>
    </row>
    <row r="35" spans="2:19">
      <c r="B35" s="177" t="s">
        <v>299</v>
      </c>
      <c r="C35" s="22" t="s">
        <v>88</v>
      </c>
      <c r="F35" s="181"/>
      <c r="G35" s="22"/>
      <c r="I35" s="181"/>
      <c r="K35" s="22" t="s">
        <v>300</v>
      </c>
      <c r="L35" s="14">
        <v>8</v>
      </c>
      <c r="M35" s="14" t="s">
        <v>203</v>
      </c>
      <c r="N35" s="14">
        <f>L35/100</f>
        <v>0.08</v>
      </c>
      <c r="O35" s="256" t="s">
        <v>204</v>
      </c>
      <c r="Q35" s="14" t="s">
        <v>301</v>
      </c>
      <c r="R35" s="14">
        <v>2.6</v>
      </c>
      <c r="S35" s="257" t="s">
        <v>302</v>
      </c>
    </row>
    <row r="36" spans="2:19">
      <c r="B36" s="177" t="s">
        <v>303</v>
      </c>
      <c r="C36" s="22"/>
      <c r="F36" s="181"/>
      <c r="G36" s="22"/>
      <c r="I36" s="181"/>
      <c r="K36" s="22" t="s">
        <v>304</v>
      </c>
      <c r="L36" s="14">
        <v>7.2</v>
      </c>
      <c r="M36" s="14" t="s">
        <v>203</v>
      </c>
      <c r="N36" s="14">
        <f t="shared" ref="N36:N37" si="32">L36/100</f>
        <v>7.2000000000000008E-2</v>
      </c>
      <c r="O36" s="256" t="s">
        <v>204</v>
      </c>
      <c r="Q36" s="14" t="s">
        <v>305</v>
      </c>
      <c r="R36" s="14">
        <v>60</v>
      </c>
      <c r="S36" s="257" t="s">
        <v>306</v>
      </c>
    </row>
    <row r="37" spans="2:19">
      <c r="B37" s="177" t="s">
        <v>307</v>
      </c>
      <c r="C37" s="22"/>
      <c r="F37" s="181"/>
      <c r="G37" s="22"/>
      <c r="I37" s="181"/>
      <c r="K37" s="22" t="s">
        <v>212</v>
      </c>
      <c r="L37" s="14">
        <v>200</v>
      </c>
      <c r="M37" s="14" t="s">
        <v>203</v>
      </c>
      <c r="N37" s="14">
        <f t="shared" si="32"/>
        <v>2</v>
      </c>
      <c r="O37" s="256" t="s">
        <v>204</v>
      </c>
      <c r="S37" s="181"/>
    </row>
    <row r="38" spans="2:19" ht="15" thickBot="1">
      <c r="B38" s="177" t="s">
        <v>308</v>
      </c>
      <c r="C38" s="22"/>
      <c r="F38" s="181"/>
      <c r="G38" s="22"/>
      <c r="I38" s="181"/>
      <c r="K38" s="22" t="s">
        <v>309</v>
      </c>
      <c r="L38" s="14">
        <f>((L35-L36)/2)*10</f>
        <v>3.9999999999999991</v>
      </c>
      <c r="M38" s="14" t="s">
        <v>234</v>
      </c>
      <c r="Q38" s="14" t="s">
        <v>310</v>
      </c>
      <c r="R38" s="259" t="s">
        <v>193</v>
      </c>
      <c r="S38" s="181" t="s">
        <v>298</v>
      </c>
    </row>
    <row r="39" spans="2:19">
      <c r="B39" s="176" t="s">
        <v>311</v>
      </c>
      <c r="C39" s="18"/>
      <c r="D39" s="179"/>
      <c r="E39" s="179"/>
      <c r="F39" s="180"/>
      <c r="G39" s="18"/>
      <c r="H39" s="179"/>
      <c r="I39" s="180"/>
      <c r="K39" s="22"/>
      <c r="Q39" s="14" t="s">
        <v>301</v>
      </c>
      <c r="R39" s="14">
        <v>1.4</v>
      </c>
      <c r="S39" s="257" t="s">
        <v>302</v>
      </c>
    </row>
    <row r="40" spans="2:19">
      <c r="B40" s="177" t="s">
        <v>312</v>
      </c>
      <c r="C40" s="22"/>
      <c r="F40" s="181"/>
      <c r="G40" s="22"/>
      <c r="I40" s="181"/>
      <c r="K40" s="22" t="s">
        <v>301</v>
      </c>
      <c r="L40" s="14">
        <f>N40</f>
        <v>2.12</v>
      </c>
      <c r="M40" s="14" t="s">
        <v>313</v>
      </c>
      <c r="N40" s="14">
        <f>(R35*R36/100)+(R39*R40/100)</f>
        <v>2.12</v>
      </c>
      <c r="O40" s="256" t="s">
        <v>302</v>
      </c>
      <c r="Q40" s="14" t="s">
        <v>314</v>
      </c>
      <c r="R40" s="14">
        <v>40</v>
      </c>
      <c r="S40" s="257" t="s">
        <v>306</v>
      </c>
    </row>
    <row r="41" spans="2:19" ht="15" thickBot="1">
      <c r="B41" s="178" t="s">
        <v>315</v>
      </c>
      <c r="C41" s="182"/>
      <c r="D41" s="183"/>
      <c r="E41" s="183"/>
      <c r="F41" s="184"/>
      <c r="G41" s="182"/>
      <c r="H41" s="183"/>
      <c r="I41" s="184"/>
      <c r="K41" s="182" t="s">
        <v>316</v>
      </c>
      <c r="L41" s="260">
        <f>N41*1000</f>
        <v>38.575741857135213</v>
      </c>
      <c r="M41" s="183" t="s">
        <v>317</v>
      </c>
      <c r="N41" s="262">
        <f>(((PI()*N36^2)/4)*N37 + ((PI()*N35^2)/4)*N37) * N40</f>
        <v>3.8575741857135214E-2</v>
      </c>
      <c r="O41" s="258" t="s">
        <v>318</v>
      </c>
      <c r="P41" s="183"/>
      <c r="Q41" s="183"/>
      <c r="R41" s="183"/>
      <c r="S41" s="184"/>
    </row>
    <row r="42" spans="2:19" ht="15" thickBot="1"/>
    <row r="43" spans="2:19" ht="15" thickBot="1">
      <c r="K43" s="358" t="s">
        <v>319</v>
      </c>
      <c r="L43" s="359"/>
      <c r="M43" s="359"/>
      <c r="N43" s="359"/>
      <c r="O43" s="359"/>
      <c r="P43" s="359"/>
      <c r="Q43" s="359"/>
      <c r="R43" s="359"/>
      <c r="S43" s="360"/>
    </row>
    <row r="44" spans="2:19" ht="15" thickBot="1">
      <c r="B44" s="349" t="s">
        <v>320</v>
      </c>
      <c r="C44" s="350"/>
      <c r="D44" s="350"/>
      <c r="E44" s="350"/>
      <c r="F44" s="351"/>
      <c r="K44" s="22" t="s">
        <v>295</v>
      </c>
      <c r="N44" s="97"/>
      <c r="O44" s="14" t="s">
        <v>296</v>
      </c>
      <c r="Q44" s="14" t="s">
        <v>297</v>
      </c>
      <c r="R44" s="14" t="s">
        <v>193</v>
      </c>
      <c r="S44" s="181" t="s">
        <v>298</v>
      </c>
    </row>
    <row r="45" spans="2:19" ht="29.5" thickBot="1">
      <c r="B45" s="15" t="s">
        <v>203</v>
      </c>
      <c r="C45" s="29" t="s">
        <v>321</v>
      </c>
      <c r="D45" s="16" t="s">
        <v>261</v>
      </c>
      <c r="E45" s="16" t="s">
        <v>262</v>
      </c>
      <c r="F45" s="17" t="s">
        <v>263</v>
      </c>
      <c r="G45" s="15" t="s">
        <v>264</v>
      </c>
      <c r="H45" s="16" t="s">
        <v>265</v>
      </c>
      <c r="I45" s="17" t="s">
        <v>266</v>
      </c>
      <c r="K45" s="22" t="s">
        <v>322</v>
      </c>
      <c r="L45" s="14">
        <v>15</v>
      </c>
      <c r="M45" s="14" t="s">
        <v>203</v>
      </c>
      <c r="N45" s="14">
        <f>L45/100</f>
        <v>0.15</v>
      </c>
      <c r="O45" s="256" t="s">
        <v>204</v>
      </c>
      <c r="Q45" s="14" t="s">
        <v>301</v>
      </c>
      <c r="R45" s="14">
        <v>2</v>
      </c>
      <c r="S45" s="257" t="s">
        <v>323</v>
      </c>
    </row>
    <row r="46" spans="2:19">
      <c r="B46" s="18" t="s">
        <v>269</v>
      </c>
      <c r="C46" s="26"/>
      <c r="D46" s="27">
        <v>20</v>
      </c>
      <c r="E46" s="27">
        <v>0</v>
      </c>
      <c r="F46" s="28">
        <v>0</v>
      </c>
      <c r="G46" s="19">
        <f>$C$17*D46*9.81</f>
        <v>58860</v>
      </c>
      <c r="H46" s="20">
        <f>$C$17*E46*9.81</f>
        <v>0</v>
      </c>
      <c r="I46" s="21">
        <f t="shared" ref="I46" si="33">$C$17*F46*9.81</f>
        <v>0</v>
      </c>
      <c r="K46" s="22" t="s">
        <v>324</v>
      </c>
      <c r="L46" s="14">
        <v>10</v>
      </c>
      <c r="M46" s="14" t="s">
        <v>203</v>
      </c>
      <c r="N46" s="14">
        <f t="shared" ref="N46:N47" si="34">L46/100</f>
        <v>0.1</v>
      </c>
      <c r="O46" s="256" t="s">
        <v>204</v>
      </c>
      <c r="Q46" s="14" t="s">
        <v>305</v>
      </c>
      <c r="R46" s="14">
        <v>60</v>
      </c>
      <c r="S46" s="257" t="s">
        <v>306</v>
      </c>
    </row>
    <row r="47" spans="2:19">
      <c r="B47" s="22" t="s">
        <v>270</v>
      </c>
      <c r="C47" s="19"/>
      <c r="D47" s="20">
        <v>80</v>
      </c>
      <c r="E47" s="20">
        <v>0</v>
      </c>
      <c r="F47" s="21">
        <v>0</v>
      </c>
      <c r="G47" s="19">
        <f>$C$18*D47*9.81</f>
        <v>219744</v>
      </c>
      <c r="H47" s="20">
        <f>$C$18*E47*9.81</f>
        <v>0</v>
      </c>
      <c r="I47" s="21">
        <f t="shared" ref="I47" si="35">$C$18*F47*9.81</f>
        <v>0</v>
      </c>
      <c r="K47" s="22" t="s">
        <v>212</v>
      </c>
      <c r="L47" s="14">
        <v>8</v>
      </c>
      <c r="M47" s="14" t="s">
        <v>203</v>
      </c>
      <c r="N47" s="14">
        <f t="shared" si="34"/>
        <v>0.08</v>
      </c>
      <c r="O47" s="256" t="s">
        <v>204</v>
      </c>
      <c r="S47" s="181"/>
    </row>
    <row r="48" spans="2:19">
      <c r="B48" s="22" t="s">
        <v>271</v>
      </c>
      <c r="C48" s="19"/>
      <c r="D48" s="20">
        <v>120</v>
      </c>
      <c r="E48" s="20">
        <v>4</v>
      </c>
      <c r="F48" s="21">
        <v>0</v>
      </c>
      <c r="G48" s="19"/>
      <c r="H48" s="20"/>
      <c r="I48" s="21"/>
      <c r="K48" s="22" t="s">
        <v>233</v>
      </c>
      <c r="L48" s="14">
        <v>2</v>
      </c>
      <c r="M48" s="14" t="s">
        <v>234</v>
      </c>
      <c r="N48" s="14">
        <f>L48/1000</f>
        <v>2E-3</v>
      </c>
      <c r="O48" s="256" t="s">
        <v>204</v>
      </c>
      <c r="Q48" s="14" t="s">
        <v>310</v>
      </c>
      <c r="R48" s="14" t="s">
        <v>193</v>
      </c>
      <c r="S48" s="181"/>
    </row>
    <row r="49" spans="2:19">
      <c r="B49" s="22" t="s">
        <v>272</v>
      </c>
      <c r="C49" s="19"/>
      <c r="D49" s="20">
        <v>120</v>
      </c>
      <c r="E49" s="20">
        <v>-4</v>
      </c>
      <c r="F49" s="21">
        <v>0</v>
      </c>
      <c r="G49" s="19"/>
      <c r="H49" s="20"/>
      <c r="I49" s="21"/>
      <c r="K49" s="22"/>
      <c r="Q49" s="14" t="s">
        <v>301</v>
      </c>
      <c r="R49" s="14">
        <v>1.5</v>
      </c>
      <c r="S49" s="257" t="s">
        <v>302</v>
      </c>
    </row>
    <row r="50" spans="2:19">
      <c r="B50" s="22" t="s">
        <v>273</v>
      </c>
      <c r="C50" s="19"/>
      <c r="D50" s="20">
        <v>120</v>
      </c>
      <c r="E50" s="20">
        <v>0</v>
      </c>
      <c r="F50" s="21">
        <v>4</v>
      </c>
      <c r="G50" s="19">
        <f>$C$21*D50*9.81</f>
        <v>176580</v>
      </c>
      <c r="H50" s="20">
        <f>$C$21*E50*9.81</f>
        <v>0</v>
      </c>
      <c r="I50" s="21">
        <f t="shared" ref="I50" si="36">$C$21*F50*9.81</f>
        <v>5886</v>
      </c>
      <c r="K50" s="22" t="s">
        <v>301</v>
      </c>
      <c r="L50" s="14">
        <f>N50</f>
        <v>1.7999999999999998</v>
      </c>
      <c r="M50" s="14" t="s">
        <v>313</v>
      </c>
      <c r="N50" s="14">
        <f>(R45*R46/100)+(R49*R50/100)</f>
        <v>1.7999999999999998</v>
      </c>
      <c r="O50" s="256" t="s">
        <v>302</v>
      </c>
      <c r="Q50" s="14" t="s">
        <v>314</v>
      </c>
      <c r="R50" s="14">
        <v>40</v>
      </c>
      <c r="S50" s="257" t="s">
        <v>306</v>
      </c>
    </row>
    <row r="51" spans="2:19" ht="15" thickBot="1">
      <c r="B51" s="22" t="s">
        <v>274</v>
      </c>
      <c r="C51" s="19"/>
      <c r="D51" s="20">
        <v>120</v>
      </c>
      <c r="E51" s="20">
        <v>0</v>
      </c>
      <c r="F51" s="21">
        <v>-4</v>
      </c>
      <c r="G51" s="19"/>
      <c r="H51" s="20"/>
      <c r="I51" s="21"/>
      <c r="K51" s="182" t="s">
        <v>316</v>
      </c>
      <c r="L51" s="183">
        <f>N51*1000</f>
        <v>3.6000000000000004E-2</v>
      </c>
      <c r="M51" s="183" t="s">
        <v>317</v>
      </c>
      <c r="N51" s="183">
        <f>((0.5*(N45+N46)*N47)*N48*N50*1000)/1000</f>
        <v>3.6000000000000001E-5</v>
      </c>
      <c r="O51" s="258" t="s">
        <v>318</v>
      </c>
      <c r="P51" s="183"/>
      <c r="Q51" s="183"/>
      <c r="R51" s="183"/>
      <c r="S51" s="184"/>
    </row>
    <row r="52" spans="2:19">
      <c r="B52" s="22" t="s">
        <v>276</v>
      </c>
      <c r="C52" s="19"/>
      <c r="D52" s="20">
        <v>128</v>
      </c>
      <c r="E52" s="20">
        <v>0</v>
      </c>
      <c r="F52" s="21">
        <v>0</v>
      </c>
      <c r="G52" s="19">
        <f>$C$23*D52*9.81</f>
        <v>0</v>
      </c>
      <c r="H52" s="20">
        <f>$C$23*E52*9.81</f>
        <v>0</v>
      </c>
      <c r="I52" s="21">
        <f t="shared" ref="I52" si="37">$C$23*F52*9.81</f>
        <v>0</v>
      </c>
    </row>
    <row r="53" spans="2:19" ht="15" thickBot="1">
      <c r="B53" s="22" t="s">
        <v>325</v>
      </c>
      <c r="C53" s="23">
        <f>SUM(C46:C52)</f>
        <v>0</v>
      </c>
      <c r="D53" s="24">
        <f>G53/($C$28*9.81)</f>
        <v>14.450327000934289</v>
      </c>
      <c r="E53" s="24">
        <f>H53/($C$28*9.81)</f>
        <v>0</v>
      </c>
      <c r="F53" s="25">
        <f t="shared" ref="F53" si="38">I53/($C$28*9.81)</f>
        <v>0.18685767673621925</v>
      </c>
      <c r="G53" s="23">
        <f>SUM(G46:G52)</f>
        <v>455184</v>
      </c>
      <c r="H53" s="24">
        <f>SUM(H46:H52)</f>
        <v>0</v>
      </c>
      <c r="I53" s="25">
        <f>SUM(I46:I52)</f>
        <v>5886</v>
      </c>
    </row>
    <row r="54" spans="2:19" ht="29.5" thickBot="1">
      <c r="B54" s="49" t="s">
        <v>326</v>
      </c>
      <c r="C54" s="23"/>
      <c r="D54" s="24"/>
      <c r="E54" s="24"/>
      <c r="F54" s="25"/>
      <c r="G54" s="20"/>
      <c r="I54" s="20"/>
    </row>
    <row r="57" spans="2:19" s="97" customFormat="1" ht="4.5" customHeight="1"/>
    <row r="59" spans="2:19">
      <c r="B59" s="14" t="s">
        <v>327</v>
      </c>
    </row>
    <row r="60" spans="2:19">
      <c r="B60" s="14" t="s">
        <v>328</v>
      </c>
      <c r="C60" s="14" t="s">
        <v>193</v>
      </c>
      <c r="D60" s="14" t="s">
        <v>329</v>
      </c>
      <c r="E60" s="14" t="s">
        <v>330</v>
      </c>
    </row>
    <row r="61" spans="2:19">
      <c r="B61" s="14" t="s">
        <v>331</v>
      </c>
    </row>
    <row r="62" spans="2:19">
      <c r="B62" s="14" t="s">
        <v>332</v>
      </c>
    </row>
    <row r="63" spans="2:19">
      <c r="B63" s="14" t="s">
        <v>221</v>
      </c>
    </row>
    <row r="64" spans="2:19">
      <c r="B64" s="14" t="s">
        <v>333</v>
      </c>
    </row>
  </sheetData>
  <mergeCells count="5">
    <mergeCell ref="B44:F44"/>
    <mergeCell ref="T15:V15"/>
    <mergeCell ref="T23:V23"/>
    <mergeCell ref="K33:S33"/>
    <mergeCell ref="K43:S43"/>
  </mergeCells>
  <pageMargins left="0.7" right="0.7" top="0.75" bottom="0.75" header="0.3" footer="0.3"/>
  <pageSetup orientation="portrait" r:id="rId1"/>
  <customProperties>
    <customPr name="DynardoMOPSolver" r:id="rId2"/>
  </customPropertie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8"/>
  <sheetViews>
    <sheetView topLeftCell="A4" workbookViewId="0">
      <selection activeCell="E28" sqref="E28"/>
    </sheetView>
  </sheetViews>
  <sheetFormatPr defaultColWidth="9.08984375" defaultRowHeight="14.5"/>
  <cols>
    <col min="1" max="1" width="30.90625" customWidth="1"/>
    <col min="2" max="2" width="9.36328125" style="192" bestFit="1" customWidth="1"/>
  </cols>
  <sheetData>
    <row r="1" spans="1:2" ht="64.5" customHeight="1">
      <c r="A1" s="194" t="s">
        <v>334</v>
      </c>
      <c r="B1" s="192">
        <v>1</v>
      </c>
    </row>
    <row r="2" spans="1:2">
      <c r="A2" t="s">
        <v>335</v>
      </c>
      <c r="B2" s="192">
        <v>20</v>
      </c>
    </row>
    <row r="3" spans="1:2">
      <c r="A3" t="s">
        <v>336</v>
      </c>
      <c r="B3" s="192">
        <f>B2*COS(RADIANS(B7))*COS(RADIANS(B8))</f>
        <v>20</v>
      </c>
    </row>
    <row r="4" spans="1:2">
      <c r="A4" t="s">
        <v>337</v>
      </c>
      <c r="B4" s="192">
        <f>B2*SIN(RADIANS(B8))</f>
        <v>0</v>
      </c>
    </row>
    <row r="5" spans="1:2">
      <c r="A5" t="s">
        <v>338</v>
      </c>
      <c r="B5" s="192">
        <f>B2*SIN(RADIANS(B7))*COS(RADIANS(B8))</f>
        <v>0</v>
      </c>
    </row>
    <row r="6" spans="1:2">
      <c r="A6" t="s">
        <v>339</v>
      </c>
      <c r="B6" s="192">
        <f>B2/(SQRT(1.4*B14*287))</f>
        <v>5.9175813601628095E-2</v>
      </c>
    </row>
    <row r="7" spans="1:2">
      <c r="A7" t="s">
        <v>340</v>
      </c>
      <c r="B7" s="192">
        <v>0</v>
      </c>
    </row>
    <row r="8" spans="1:2">
      <c r="A8" t="s">
        <v>341</v>
      </c>
      <c r="B8" s="192">
        <v>0</v>
      </c>
    </row>
    <row r="9" spans="1:2">
      <c r="A9" t="s">
        <v>342</v>
      </c>
      <c r="B9" s="192">
        <f>RADIANS(AoAfins)</f>
        <v>0.26179938779914941</v>
      </c>
    </row>
    <row r="10" spans="1:2">
      <c r="A10" t="s">
        <v>343</v>
      </c>
      <c r="B10" s="192">
        <f>RADIANS(AoSfins)</f>
        <v>0</v>
      </c>
    </row>
    <row r="11" spans="1:2">
      <c r="A11" t="s">
        <v>344</v>
      </c>
      <c r="B11" s="192">
        <v>600</v>
      </c>
    </row>
    <row r="12" spans="1:2">
      <c r="A12" t="s">
        <v>345</v>
      </c>
      <c r="B12" s="192">
        <f>101325*(B14/288.08)^5.256</f>
        <v>94511.922573226519</v>
      </c>
    </row>
    <row r="13" spans="1:2">
      <c r="A13" t="s">
        <v>346</v>
      </c>
      <c r="B13" s="192">
        <f>B12/(287*B14)</f>
        <v>1.1583588404443286</v>
      </c>
    </row>
    <row r="14" spans="1:2">
      <c r="A14" t="s">
        <v>347</v>
      </c>
      <c r="B14" s="192">
        <f>(15.04-0.0065*B11)+273.15</f>
        <v>284.28999999999996</v>
      </c>
    </row>
    <row r="15" spans="1:2">
      <c r="A15" t="s">
        <v>348</v>
      </c>
      <c r="B15" s="192">
        <f>(1.76*10^-5)*((B14/273)^(3/2))*((273+110)/(B14+110))</f>
        <v>1.8167454611580061E-5</v>
      </c>
    </row>
    <row r="16" spans="1:2">
      <c r="A16" t="s">
        <v>349</v>
      </c>
      <c r="B16" s="192">
        <f>B15/B13</f>
        <v>1.5683788112335987E-5</v>
      </c>
    </row>
    <row r="17" spans="1:2">
      <c r="A17" t="s">
        <v>350</v>
      </c>
      <c r="B17" s="192">
        <v>9</v>
      </c>
    </row>
    <row r="18" spans="1:2">
      <c r="A18" t="s">
        <v>351</v>
      </c>
      <c r="B18" s="192">
        <f>DEGREES(ATAN((B5+B17)/B3))</f>
        <v>24.22774531795417</v>
      </c>
    </row>
    <row r="19" spans="1:2">
      <c r="A19" t="s">
        <v>352</v>
      </c>
      <c r="B19" s="192">
        <f>DEGREES(ATAN((B4+B17)/B3))</f>
        <v>24.22774531795417</v>
      </c>
    </row>
    <row r="20" spans="1:2">
      <c r="A20" t="s">
        <v>353</v>
      </c>
      <c r="B20" s="192">
        <f>RADIANS(B18)</f>
        <v>0.42285392613294071</v>
      </c>
    </row>
    <row r="21" spans="1:2">
      <c r="A21" t="s">
        <v>354</v>
      </c>
      <c r="B21" s="192">
        <f>RADIANS(B19)</f>
        <v>0.42285392613294071</v>
      </c>
    </row>
    <row r="22" spans="1:2">
      <c r="A22" t="s">
        <v>355</v>
      </c>
      <c r="B22" s="192">
        <f>0.5*B13*B2^2</f>
        <v>231.67176808886572</v>
      </c>
    </row>
    <row r="23" spans="1:2">
      <c r="A23" t="s">
        <v>356</v>
      </c>
      <c r="B23" s="192">
        <f>CrossSecAreaRocket</f>
        <v>1.3867686977437444E-2</v>
      </c>
    </row>
    <row r="25" spans="1:2">
      <c r="A25" s="193" t="s">
        <v>357</v>
      </c>
    </row>
    <row r="26" spans="1:2">
      <c r="A26" t="s">
        <v>197</v>
      </c>
      <c r="B26" s="192">
        <f>B22*B23*B20*B14</f>
        <v>386.21496177868528</v>
      </c>
    </row>
    <row r="27" spans="1:2">
      <c r="A27" t="s">
        <v>221</v>
      </c>
    </row>
    <row r="28" spans="1:2">
      <c r="A28" t="s">
        <v>276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249"/>
  <sheetViews>
    <sheetView zoomScale="85" zoomScaleNormal="85" workbookViewId="0">
      <pane ySplit="10" topLeftCell="A234" activePane="bottomLeft" state="frozen"/>
      <selection pane="bottomLeft" activeCell="B239" sqref="B239"/>
    </sheetView>
  </sheetViews>
  <sheetFormatPr defaultColWidth="9.08984375" defaultRowHeight="15" customHeight="1" outlineLevelRow="1"/>
  <cols>
    <col min="1" max="1" width="39.36328125" customWidth="1"/>
    <col min="2" max="11" width="12.7265625" style="192" customWidth="1"/>
  </cols>
  <sheetData>
    <row r="1" spans="1:11" ht="30.75" customHeight="1" thickBot="1">
      <c r="A1" s="272" t="s">
        <v>508</v>
      </c>
      <c r="B1" s="192">
        <v>1</v>
      </c>
      <c r="C1" s="192">
        <v>1</v>
      </c>
      <c r="D1" s="192">
        <v>1</v>
      </c>
      <c r="E1" s="192">
        <v>1</v>
      </c>
      <c r="F1" s="192">
        <v>1</v>
      </c>
      <c r="G1" s="192">
        <v>1</v>
      </c>
      <c r="H1" s="192">
        <v>1</v>
      </c>
      <c r="I1" s="192">
        <v>1</v>
      </c>
      <c r="J1" s="192">
        <v>1</v>
      </c>
      <c r="K1" s="192">
        <v>1</v>
      </c>
    </row>
    <row r="2" spans="1:11" ht="14.5">
      <c r="A2" t="s">
        <v>335</v>
      </c>
      <c r="B2" s="192">
        <f>B6*B8</f>
        <v>20.410444385167118</v>
      </c>
      <c r="C2" s="192">
        <f t="shared" ref="C2:I2" si="0">C6*C8</f>
        <v>34.028626478304993</v>
      </c>
      <c r="D2" s="192">
        <f t="shared" si="0"/>
        <v>102.08587943491499</v>
      </c>
      <c r="E2" s="192">
        <f t="shared" si="0"/>
        <v>170.14313239152497</v>
      </c>
      <c r="F2" s="192">
        <f t="shared" si="0"/>
        <v>238.20038534813494</v>
      </c>
      <c r="G2" s="192">
        <f t="shared" si="0"/>
        <v>340.28626478304994</v>
      </c>
      <c r="H2" s="192">
        <f t="shared" si="0"/>
        <v>510.42939717457489</v>
      </c>
      <c r="I2" s="192">
        <f t="shared" si="0"/>
        <v>680.57252956609989</v>
      </c>
      <c r="J2" s="192">
        <f t="shared" ref="J2:K2" si="1">J6*J8</f>
        <v>1020.8587943491498</v>
      </c>
      <c r="K2" s="192">
        <f t="shared" si="1"/>
        <v>1701.4313239152498</v>
      </c>
    </row>
    <row r="3" spans="1:11" ht="14.5" outlineLevel="1">
      <c r="A3" t="s">
        <v>336</v>
      </c>
      <c r="B3" s="192">
        <f>B2*COS(RADIANS(B9))*COS(RADIANS(B10))</f>
        <v>19.714975357669623</v>
      </c>
      <c r="C3" s="192">
        <f t="shared" ref="C3:I3" si="2">C2*COS(RADIANS(C9))*COS(RADIANS(C10))</f>
        <v>34.028626478304993</v>
      </c>
      <c r="D3" s="192">
        <f t="shared" si="2"/>
        <v>102.08587943491499</v>
      </c>
      <c r="E3" s="192">
        <f t="shared" si="2"/>
        <v>170.14313239152497</v>
      </c>
      <c r="F3" s="192">
        <f t="shared" si="2"/>
        <v>238.20038534813494</v>
      </c>
      <c r="G3" s="192">
        <f t="shared" si="2"/>
        <v>340.28626478304994</v>
      </c>
      <c r="H3" s="192">
        <f t="shared" si="2"/>
        <v>510.42939717457489</v>
      </c>
      <c r="I3" s="192">
        <f t="shared" si="2"/>
        <v>680.57252956609989</v>
      </c>
      <c r="J3" s="192">
        <f t="shared" ref="J3" si="3">J2*COS(RADIANS(J9))*COS(RADIANS(J10))</f>
        <v>1020.8587943491498</v>
      </c>
      <c r="K3" s="192">
        <f t="shared" ref="K3" si="4">K2*COS(RADIANS(K9))*COS(RADIANS(K10))</f>
        <v>1701.4313239152498</v>
      </c>
    </row>
    <row r="4" spans="1:11" ht="14.5" outlineLevel="1">
      <c r="A4" t="s">
        <v>337</v>
      </c>
      <c r="B4" s="192">
        <f t="shared" ref="B4" si="5">B2*SIN(RADIANS(B10))</f>
        <v>0</v>
      </c>
      <c r="C4" s="192">
        <f t="shared" ref="C4:I4" si="6">C2*SIN(RADIANS(C10))</f>
        <v>0</v>
      </c>
      <c r="D4" s="192">
        <f t="shared" si="6"/>
        <v>0</v>
      </c>
      <c r="E4" s="192">
        <f t="shared" si="6"/>
        <v>0</v>
      </c>
      <c r="F4" s="192">
        <f t="shared" si="6"/>
        <v>0</v>
      </c>
      <c r="G4" s="192">
        <f t="shared" si="6"/>
        <v>0</v>
      </c>
      <c r="H4" s="192">
        <f t="shared" si="6"/>
        <v>0</v>
      </c>
      <c r="I4" s="192">
        <f t="shared" si="6"/>
        <v>0</v>
      </c>
      <c r="J4" s="192">
        <f t="shared" ref="J4:K4" si="7">J2*SIN(RADIANS(J10))</f>
        <v>0</v>
      </c>
      <c r="K4" s="192">
        <f t="shared" si="7"/>
        <v>0</v>
      </c>
    </row>
    <row r="5" spans="1:11" ht="14.5" outlineLevel="1">
      <c r="A5" t="s">
        <v>338</v>
      </c>
      <c r="B5" s="192">
        <f t="shared" ref="B5" si="8">B2*SIN(RADIANS(B9))*COS(RADIANS(B10))</f>
        <v>5.2826117258870591</v>
      </c>
      <c r="C5" s="192">
        <f t="shared" ref="C5:I5" si="9">C2*SIN(RADIANS(C9))*COS(RADIANS(C10))</f>
        <v>0</v>
      </c>
      <c r="D5" s="192">
        <f t="shared" si="9"/>
        <v>0</v>
      </c>
      <c r="E5" s="192">
        <f t="shared" si="9"/>
        <v>0</v>
      </c>
      <c r="F5" s="192">
        <f t="shared" si="9"/>
        <v>0</v>
      </c>
      <c r="G5" s="192">
        <f t="shared" si="9"/>
        <v>0</v>
      </c>
      <c r="H5" s="192">
        <f t="shared" si="9"/>
        <v>0</v>
      </c>
      <c r="I5" s="192">
        <f t="shared" si="9"/>
        <v>0</v>
      </c>
      <c r="J5" s="192">
        <f t="shared" ref="J5:K5" si="10">J2*SIN(RADIANS(J9))*COS(RADIANS(J10))</f>
        <v>0</v>
      </c>
      <c r="K5" s="192">
        <f t="shared" si="10"/>
        <v>0</v>
      </c>
    </row>
    <row r="6" spans="1:11" s="287" customFormat="1" ht="14.5">
      <c r="A6" s="287" t="s">
        <v>496</v>
      </c>
      <c r="B6" s="288">
        <v>0.06</v>
      </c>
      <c r="C6" s="288">
        <v>0.1</v>
      </c>
      <c r="D6" s="288">
        <v>0.3</v>
      </c>
      <c r="E6" s="288">
        <v>0.5</v>
      </c>
      <c r="F6" s="288">
        <v>0.7</v>
      </c>
      <c r="G6" s="288">
        <v>1</v>
      </c>
      <c r="H6" s="288">
        <v>1.5</v>
      </c>
      <c r="I6" s="288">
        <v>2</v>
      </c>
      <c r="J6" s="288">
        <v>3</v>
      </c>
      <c r="K6" s="288">
        <v>5</v>
      </c>
    </row>
    <row r="7" spans="1:11" ht="14.5">
      <c r="A7" t="s">
        <v>339</v>
      </c>
      <c r="B7" s="285">
        <f t="shared" ref="B7" si="11">B2/B8</f>
        <v>0.06</v>
      </c>
      <c r="C7" s="285">
        <f t="shared" ref="C7:I7" si="12">C2/C8</f>
        <v>9.9999999999999992E-2</v>
      </c>
      <c r="D7" s="285">
        <f t="shared" si="12"/>
        <v>0.3</v>
      </c>
      <c r="E7" s="285">
        <f t="shared" si="12"/>
        <v>0.5</v>
      </c>
      <c r="F7" s="285">
        <f t="shared" si="12"/>
        <v>0.7</v>
      </c>
      <c r="G7" s="285">
        <f t="shared" si="12"/>
        <v>1</v>
      </c>
      <c r="H7" s="285">
        <f t="shared" si="12"/>
        <v>1.5</v>
      </c>
      <c r="I7" s="285">
        <f t="shared" si="12"/>
        <v>2</v>
      </c>
      <c r="J7" s="285">
        <f t="shared" ref="J7:K7" si="13">J2/J8</f>
        <v>3</v>
      </c>
      <c r="K7" s="285">
        <f t="shared" si="13"/>
        <v>5</v>
      </c>
    </row>
    <row r="8" spans="1:11" ht="14.5">
      <c r="A8" t="s">
        <v>497</v>
      </c>
      <c r="B8" s="192">
        <f>(SQRT(1.4*B17*287))</f>
        <v>340.17407308611865</v>
      </c>
      <c r="C8" s="192">
        <f t="shared" ref="C8:I8" si="14">(SQRT(1.4*C17*287))</f>
        <v>340.28626478304994</v>
      </c>
      <c r="D8" s="192">
        <f t="shared" si="14"/>
        <v>340.28626478304994</v>
      </c>
      <c r="E8" s="192">
        <f t="shared" si="14"/>
        <v>340.28626478304994</v>
      </c>
      <c r="F8" s="192">
        <f t="shared" si="14"/>
        <v>340.28626478304994</v>
      </c>
      <c r="G8" s="192">
        <f t="shared" si="14"/>
        <v>340.28626478304994</v>
      </c>
      <c r="H8" s="192">
        <f t="shared" si="14"/>
        <v>340.28626478304994</v>
      </c>
      <c r="I8" s="192">
        <f t="shared" si="14"/>
        <v>340.28626478304994</v>
      </c>
      <c r="J8" s="192">
        <f t="shared" ref="J8:K8" si="15">(SQRT(1.4*J17*287))</f>
        <v>340.28626478304994</v>
      </c>
      <c r="K8" s="192">
        <f t="shared" si="15"/>
        <v>340.28626478304994</v>
      </c>
    </row>
    <row r="9" spans="1:11" s="287" customFormat="1" ht="14.5">
      <c r="A9" s="287" t="s">
        <v>340</v>
      </c>
      <c r="B9" s="289">
        <v>15</v>
      </c>
      <c r="C9" s="289">
        <v>0</v>
      </c>
      <c r="D9" s="289">
        <v>0</v>
      </c>
      <c r="E9" s="289">
        <v>0</v>
      </c>
      <c r="F9" s="289">
        <v>0</v>
      </c>
      <c r="G9" s="289">
        <v>0</v>
      </c>
      <c r="H9" s="289">
        <v>0</v>
      </c>
      <c r="I9" s="289">
        <v>0</v>
      </c>
      <c r="J9" s="289">
        <v>0</v>
      </c>
      <c r="K9" s="289">
        <v>0</v>
      </c>
    </row>
    <row r="10" spans="1:11" ht="14.5">
      <c r="A10" s="270" t="s">
        <v>341</v>
      </c>
      <c r="B10" s="192">
        <v>0</v>
      </c>
      <c r="C10" s="192">
        <v>0</v>
      </c>
      <c r="D10" s="192">
        <v>0</v>
      </c>
      <c r="E10" s="192">
        <v>0</v>
      </c>
      <c r="F10" s="192">
        <v>0</v>
      </c>
      <c r="G10" s="192">
        <v>0</v>
      </c>
      <c r="H10" s="192">
        <v>0</v>
      </c>
      <c r="I10" s="192">
        <v>0</v>
      </c>
      <c r="J10" s="192">
        <v>0</v>
      </c>
      <c r="K10" s="192">
        <v>0</v>
      </c>
    </row>
    <row r="11" spans="1:11" ht="14.5">
      <c r="A11" t="s">
        <v>342</v>
      </c>
      <c r="B11" s="192">
        <f t="shared" ref="B11:K11" si="16">RADIANS(AoAfins)</f>
        <v>0.26179938779914941</v>
      </c>
      <c r="C11" s="192">
        <f t="shared" si="16"/>
        <v>0.26179938779914941</v>
      </c>
      <c r="D11" s="192">
        <f t="shared" si="16"/>
        <v>0.26179938779914941</v>
      </c>
      <c r="E11" s="192">
        <f t="shared" si="16"/>
        <v>0.26179938779914941</v>
      </c>
      <c r="F11" s="192">
        <f t="shared" si="16"/>
        <v>0.26179938779914941</v>
      </c>
      <c r="G11" s="192">
        <f t="shared" si="16"/>
        <v>0.26179938779914941</v>
      </c>
      <c r="H11" s="192">
        <f t="shared" si="16"/>
        <v>0.26179938779914941</v>
      </c>
      <c r="I11" s="192">
        <f t="shared" si="16"/>
        <v>0.26179938779914941</v>
      </c>
      <c r="J11" s="192">
        <f t="shared" si="16"/>
        <v>0.26179938779914941</v>
      </c>
      <c r="K11" s="192">
        <f t="shared" si="16"/>
        <v>0.26179938779914941</v>
      </c>
    </row>
    <row r="12" spans="1:11" ht="14.5">
      <c r="A12" t="s">
        <v>343</v>
      </c>
      <c r="B12" s="192">
        <f t="shared" ref="B12:K12" si="17">RADIANS(AoSfins)</f>
        <v>0</v>
      </c>
      <c r="C12" s="192">
        <f t="shared" si="17"/>
        <v>0</v>
      </c>
      <c r="D12" s="192">
        <f t="shared" si="17"/>
        <v>0</v>
      </c>
      <c r="E12" s="192">
        <f t="shared" si="17"/>
        <v>0</v>
      </c>
      <c r="F12" s="192">
        <f t="shared" si="17"/>
        <v>0</v>
      </c>
      <c r="G12" s="192">
        <f t="shared" si="17"/>
        <v>0</v>
      </c>
      <c r="H12" s="192">
        <f t="shared" si="17"/>
        <v>0</v>
      </c>
      <c r="I12" s="192">
        <f t="shared" si="17"/>
        <v>0</v>
      </c>
      <c r="J12" s="192">
        <f t="shared" si="17"/>
        <v>0</v>
      </c>
      <c r="K12" s="192">
        <f t="shared" si="17"/>
        <v>0</v>
      </c>
    </row>
    <row r="13" spans="1:11" thickBot="1">
      <c r="A13" t="s">
        <v>344</v>
      </c>
      <c r="B13" s="192">
        <v>0</v>
      </c>
      <c r="C13" s="192">
        <v>0</v>
      </c>
      <c r="D13" s="192">
        <v>0</v>
      </c>
      <c r="E13" s="192">
        <v>0</v>
      </c>
      <c r="F13" s="192">
        <v>0</v>
      </c>
      <c r="G13" s="192">
        <v>0</v>
      </c>
      <c r="H13" s="192">
        <v>0</v>
      </c>
      <c r="I13" s="192">
        <v>0</v>
      </c>
      <c r="J13" s="192">
        <v>0</v>
      </c>
      <c r="K13" s="192">
        <v>0</v>
      </c>
    </row>
    <row r="14" spans="1:11" thickBot="1">
      <c r="A14" s="271" t="s">
        <v>498</v>
      </c>
    </row>
    <row r="15" spans="1:11" ht="14.5" outlineLevel="1">
      <c r="A15" t="s">
        <v>358</v>
      </c>
      <c r="B15" s="192">
        <f>101325*(B17/288.08)^5.256</f>
        <v>101177.1939523339</v>
      </c>
      <c r="C15" s="192">
        <f t="shared" ref="C15:I15" si="18">101325*(C17/288.08)^5.256</f>
        <v>101528.51875418922</v>
      </c>
      <c r="D15" s="192">
        <f t="shared" si="18"/>
        <v>101528.51875418922</v>
      </c>
      <c r="E15" s="192">
        <f t="shared" si="18"/>
        <v>101528.51875418922</v>
      </c>
      <c r="F15" s="192">
        <f t="shared" si="18"/>
        <v>101528.51875418922</v>
      </c>
      <c r="G15" s="192">
        <f t="shared" si="18"/>
        <v>101528.51875418922</v>
      </c>
      <c r="H15" s="192">
        <f t="shared" si="18"/>
        <v>101528.51875418922</v>
      </c>
      <c r="I15" s="192">
        <f t="shared" si="18"/>
        <v>101528.51875418922</v>
      </c>
      <c r="J15" s="192">
        <f t="shared" ref="J15:K15" si="19">101325*(J17/288.08)^5.256</f>
        <v>101528.51875418922</v>
      </c>
      <c r="K15" s="192">
        <f t="shared" si="19"/>
        <v>101528.51875418922</v>
      </c>
    </row>
    <row r="16" spans="1:11" ht="14.5" outlineLevel="1">
      <c r="A16" t="s">
        <v>346</v>
      </c>
      <c r="B16" s="192">
        <f t="shared" ref="B16" si="20">B15/(287*B17)</f>
        <v>1.2240756140187512</v>
      </c>
      <c r="C16" s="192">
        <f t="shared" ref="C16:I16" si="21">C15/(287*C17)</f>
        <v>1.2275162395185863</v>
      </c>
      <c r="D16" s="192">
        <f t="shared" si="21"/>
        <v>1.2275162395185863</v>
      </c>
      <c r="E16" s="192">
        <f t="shared" si="21"/>
        <v>1.2275162395185863</v>
      </c>
      <c r="F16" s="192">
        <f t="shared" si="21"/>
        <v>1.2275162395185863</v>
      </c>
      <c r="G16" s="192">
        <f t="shared" si="21"/>
        <v>1.2275162395185863</v>
      </c>
      <c r="H16" s="192">
        <f t="shared" si="21"/>
        <v>1.2275162395185863</v>
      </c>
      <c r="I16" s="192">
        <f t="shared" si="21"/>
        <v>1.2275162395185863</v>
      </c>
      <c r="J16" s="192">
        <f t="shared" ref="J16:K16" si="22">J15/(287*J17)</f>
        <v>1.2275162395185863</v>
      </c>
      <c r="K16" s="192">
        <f t="shared" si="22"/>
        <v>1.2275162395185863</v>
      </c>
    </row>
    <row r="17" spans="1:11" ht="14.5" outlineLevel="1">
      <c r="A17" t="s">
        <v>347</v>
      </c>
      <c r="B17" s="192">
        <f>(15-0.0065*B13)+273</f>
        <v>288</v>
      </c>
      <c r="C17" s="192">
        <f t="shared" ref="C17:I17" si="23">(15.04-0.0065*C13)+273.15</f>
        <v>288.19</v>
      </c>
      <c r="D17" s="192">
        <f t="shared" si="23"/>
        <v>288.19</v>
      </c>
      <c r="E17" s="192">
        <f t="shared" si="23"/>
        <v>288.19</v>
      </c>
      <c r="F17" s="192">
        <f t="shared" si="23"/>
        <v>288.19</v>
      </c>
      <c r="G17" s="192">
        <f t="shared" si="23"/>
        <v>288.19</v>
      </c>
      <c r="H17" s="192">
        <f t="shared" si="23"/>
        <v>288.19</v>
      </c>
      <c r="I17" s="192">
        <f t="shared" si="23"/>
        <v>288.19</v>
      </c>
      <c r="J17" s="192">
        <f t="shared" ref="J17:K17" si="24">(15.04-0.0065*J13)+273.15</f>
        <v>288.19</v>
      </c>
      <c r="K17" s="192">
        <f t="shared" si="24"/>
        <v>288.19</v>
      </c>
    </row>
    <row r="18" spans="1:11" ht="14.5" outlineLevel="1">
      <c r="A18" t="s">
        <v>495</v>
      </c>
      <c r="B18" s="192">
        <f>B17-273</f>
        <v>15</v>
      </c>
      <c r="C18" s="192">
        <f t="shared" ref="C18:I18" si="25">C17-273</f>
        <v>15.189999999999998</v>
      </c>
      <c r="D18" s="192">
        <f t="shared" si="25"/>
        <v>15.189999999999998</v>
      </c>
      <c r="E18" s="192">
        <f t="shared" si="25"/>
        <v>15.189999999999998</v>
      </c>
      <c r="F18" s="192">
        <f t="shared" si="25"/>
        <v>15.189999999999998</v>
      </c>
      <c r="G18" s="192">
        <f t="shared" si="25"/>
        <v>15.189999999999998</v>
      </c>
      <c r="H18" s="192">
        <f t="shared" si="25"/>
        <v>15.189999999999998</v>
      </c>
      <c r="I18" s="192">
        <f t="shared" si="25"/>
        <v>15.189999999999998</v>
      </c>
      <c r="J18" s="192">
        <f t="shared" ref="J18" si="26">J17-273</f>
        <v>15.189999999999998</v>
      </c>
      <c r="K18" s="192">
        <f t="shared" ref="K18" si="27">K17-273</f>
        <v>15.189999999999998</v>
      </c>
    </row>
    <row r="19" spans="1:11" ht="14.5" outlineLevel="1">
      <c r="A19" t="s">
        <v>348</v>
      </c>
      <c r="B19" s="187">
        <f>(1.76*10^-5)*((B17/273)^(3/2))*((273+110)/(B17+110))</f>
        <v>1.8351566035015911E-5</v>
      </c>
      <c r="C19" s="187">
        <f t="shared" ref="C19:I19" si="28">(1.76*10^-5)*((C17/273)^(3/2))*((273+110)/(C17+110))</f>
        <v>1.8360964149388051E-5</v>
      </c>
      <c r="D19" s="187">
        <f t="shared" si="28"/>
        <v>1.8360964149388051E-5</v>
      </c>
      <c r="E19" s="187">
        <f t="shared" si="28"/>
        <v>1.8360964149388051E-5</v>
      </c>
      <c r="F19" s="187">
        <f t="shared" si="28"/>
        <v>1.8360964149388051E-5</v>
      </c>
      <c r="G19" s="187">
        <f t="shared" si="28"/>
        <v>1.8360964149388051E-5</v>
      </c>
      <c r="H19" s="187">
        <f t="shared" si="28"/>
        <v>1.8360964149388051E-5</v>
      </c>
      <c r="I19" s="187">
        <f t="shared" si="28"/>
        <v>1.8360964149388051E-5</v>
      </c>
      <c r="J19" s="187">
        <f t="shared" ref="J19:K19" si="29">(1.76*10^-5)*((J17/273)^(3/2))*((273+110)/(J17+110))</f>
        <v>1.8360964149388051E-5</v>
      </c>
      <c r="K19" s="187">
        <f t="shared" si="29"/>
        <v>1.8360964149388051E-5</v>
      </c>
    </row>
    <row r="20" spans="1:11" ht="14.5" outlineLevel="1">
      <c r="A20" t="s">
        <v>349</v>
      </c>
      <c r="B20" s="187">
        <f t="shared" ref="B20" si="30">B19/B16</f>
        <v>1.4992183346228143E-5</v>
      </c>
      <c r="C20" s="187">
        <f t="shared" ref="C20:I20" si="31">C19/C16</f>
        <v>1.4957817712121631E-5</v>
      </c>
      <c r="D20" s="187">
        <f t="shared" si="31"/>
        <v>1.4957817712121631E-5</v>
      </c>
      <c r="E20" s="187">
        <f t="shared" si="31"/>
        <v>1.4957817712121631E-5</v>
      </c>
      <c r="F20" s="187">
        <f t="shared" si="31"/>
        <v>1.4957817712121631E-5</v>
      </c>
      <c r="G20" s="187">
        <f t="shared" si="31"/>
        <v>1.4957817712121631E-5</v>
      </c>
      <c r="H20" s="187">
        <f t="shared" si="31"/>
        <v>1.4957817712121631E-5</v>
      </c>
      <c r="I20" s="187">
        <f t="shared" si="31"/>
        <v>1.4957817712121631E-5</v>
      </c>
      <c r="J20" s="187">
        <f t="shared" ref="J20:K20" si="32">J19/J16</f>
        <v>1.4957817712121631E-5</v>
      </c>
      <c r="K20" s="187">
        <f t="shared" si="32"/>
        <v>1.4957817712121631E-5</v>
      </c>
    </row>
    <row r="21" spans="1:11" ht="14.5" outlineLevel="1">
      <c r="A21" t="s">
        <v>350</v>
      </c>
      <c r="B21" s="192">
        <v>9</v>
      </c>
      <c r="C21" s="192">
        <v>9</v>
      </c>
      <c r="D21" s="192">
        <v>9</v>
      </c>
      <c r="E21" s="192">
        <v>9</v>
      </c>
      <c r="F21" s="192">
        <v>9</v>
      </c>
      <c r="G21" s="192">
        <v>9</v>
      </c>
      <c r="H21" s="192">
        <v>9</v>
      </c>
      <c r="I21" s="192">
        <v>9</v>
      </c>
      <c r="J21" s="192">
        <v>9</v>
      </c>
      <c r="K21" s="192">
        <v>9</v>
      </c>
    </row>
    <row r="22" spans="1:11" ht="14.5" outlineLevel="1">
      <c r="A22" t="s">
        <v>359</v>
      </c>
    </row>
    <row r="23" spans="1:11" ht="14.5" outlineLevel="1">
      <c r="A23" t="s">
        <v>360</v>
      </c>
    </row>
    <row r="24" spans="1:11" ht="14.5" outlineLevel="1">
      <c r="A24" t="s">
        <v>361</v>
      </c>
    </row>
    <row r="25" spans="1:11" ht="14.5" outlineLevel="1">
      <c r="A25" t="s">
        <v>351</v>
      </c>
      <c r="B25" s="192">
        <f t="shared" ref="B25" si="33">DEGREES(ATAN((B5+B21)/B3))</f>
        <v>35.921637338271211</v>
      </c>
      <c r="C25" s="192">
        <f t="shared" ref="C25:I25" si="34">DEGREES(ATAN((C5+C21)/C3))</f>
        <v>14.814555975479079</v>
      </c>
      <c r="D25" s="192">
        <f t="shared" si="34"/>
        <v>5.0382309646817349</v>
      </c>
      <c r="E25" s="192">
        <f t="shared" si="34"/>
        <v>3.0279322124746915</v>
      </c>
      <c r="F25" s="192">
        <f t="shared" si="34"/>
        <v>2.1637951681161911</v>
      </c>
      <c r="G25" s="192">
        <f t="shared" si="34"/>
        <v>1.5150239133225982</v>
      </c>
      <c r="H25" s="192">
        <f t="shared" si="34"/>
        <v>1.0101467304454064</v>
      </c>
      <c r="I25" s="192">
        <f t="shared" si="34"/>
        <v>0.75764439054895982</v>
      </c>
      <c r="J25" s="192">
        <f t="shared" ref="J25:K25" si="35">DEGREES(ATAN((J5+J21)/J3))</f>
        <v>0.505112616327407</v>
      </c>
      <c r="K25" s="192">
        <f t="shared" si="35"/>
        <v>0.30307259479063259</v>
      </c>
    </row>
    <row r="26" spans="1:11" ht="14.5" outlineLevel="1">
      <c r="A26" t="s">
        <v>352</v>
      </c>
      <c r="B26" s="192">
        <f t="shared" ref="B26" si="36">DEGREES(ATAN((B4+B21)/B3))</f>
        <v>24.536971295091643</v>
      </c>
      <c r="C26" s="192">
        <f t="shared" ref="C26:I26" si="37">DEGREES(ATAN((C4+C21)/C3))</f>
        <v>14.814555975479079</v>
      </c>
      <c r="D26" s="192">
        <f t="shared" si="37"/>
        <v>5.0382309646817349</v>
      </c>
      <c r="E26" s="192">
        <f t="shared" si="37"/>
        <v>3.0279322124746915</v>
      </c>
      <c r="F26" s="192">
        <f t="shared" si="37"/>
        <v>2.1637951681161911</v>
      </c>
      <c r="G26" s="192">
        <f t="shared" si="37"/>
        <v>1.5150239133225982</v>
      </c>
      <c r="H26" s="192">
        <f t="shared" si="37"/>
        <v>1.0101467304454064</v>
      </c>
      <c r="I26" s="192">
        <f t="shared" si="37"/>
        <v>0.75764439054895982</v>
      </c>
      <c r="J26" s="192">
        <f t="shared" ref="J26:K26" si="38">DEGREES(ATAN((J4+J21)/J3))</f>
        <v>0.505112616327407</v>
      </c>
      <c r="K26" s="192">
        <f t="shared" si="38"/>
        <v>0.30307259479063259</v>
      </c>
    </row>
    <row r="27" spans="1:11" ht="14.5" outlineLevel="1">
      <c r="A27" t="s">
        <v>353</v>
      </c>
      <c r="B27" s="192">
        <f t="shared" ref="B27" si="39">RADIANS(B25)</f>
        <v>0.62695084426016467</v>
      </c>
      <c r="C27" s="192">
        <f t="shared" ref="C27:I27" si="40">RADIANS(C25)</f>
        <v>0.25856277899311025</v>
      </c>
      <c r="D27" s="192">
        <f t="shared" si="40"/>
        <v>8.7933718809626416E-2</v>
      </c>
      <c r="E27" s="192">
        <f t="shared" si="40"/>
        <v>5.2847386634879888E-2</v>
      </c>
      <c r="F27" s="192">
        <f t="shared" si="40"/>
        <v>3.776535002237176E-2</v>
      </c>
      <c r="G27" s="192">
        <f t="shared" si="40"/>
        <v>2.6442155533928525E-2</v>
      </c>
      <c r="H27" s="192">
        <f t="shared" si="40"/>
        <v>1.7630386374527986E-2</v>
      </c>
      <c r="I27" s="192">
        <f t="shared" si="40"/>
        <v>1.3223389174345157E-2</v>
      </c>
      <c r="J27" s="192">
        <f t="shared" ref="J27:K27" si="41">RADIANS(J25)</f>
        <v>8.8158782482761211E-3</v>
      </c>
      <c r="K27" s="192">
        <f t="shared" si="41"/>
        <v>5.2896146516591535E-3</v>
      </c>
    </row>
    <row r="28" spans="1:11" ht="14.5" outlineLevel="1">
      <c r="A28" t="s">
        <v>354</v>
      </c>
      <c r="B28" s="192">
        <f t="shared" ref="B28" si="42">RADIANS(B26)</f>
        <v>0.42825093756668631</v>
      </c>
      <c r="C28" s="192">
        <f t="shared" ref="C28:I28" si="43">RADIANS(C26)</f>
        <v>0.25856277899311025</v>
      </c>
      <c r="D28" s="192">
        <f t="shared" si="43"/>
        <v>8.7933718809626416E-2</v>
      </c>
      <c r="E28" s="192">
        <f t="shared" si="43"/>
        <v>5.2847386634879888E-2</v>
      </c>
      <c r="F28" s="192">
        <f t="shared" si="43"/>
        <v>3.776535002237176E-2</v>
      </c>
      <c r="G28" s="192">
        <f t="shared" si="43"/>
        <v>2.6442155533928525E-2</v>
      </c>
      <c r="H28" s="192">
        <f t="shared" si="43"/>
        <v>1.7630386374527986E-2</v>
      </c>
      <c r="I28" s="192">
        <f t="shared" si="43"/>
        <v>1.3223389174345157E-2</v>
      </c>
      <c r="J28" s="192">
        <f t="shared" ref="J28:K28" si="44">RADIANS(J26)</f>
        <v>8.8158782482761211E-3</v>
      </c>
      <c r="K28" s="192">
        <f t="shared" si="44"/>
        <v>5.2896146516591535E-3</v>
      </c>
    </row>
    <row r="29" spans="1:11" ht="14.5" outlineLevel="1">
      <c r="A29" t="s">
        <v>355</v>
      </c>
      <c r="B29" s="192">
        <f t="shared" ref="B29" si="45">0.5*B16*B2^2</f>
        <v>254.96652875988138</v>
      </c>
      <c r="C29" s="192">
        <f t="shared" ref="C29:I29" si="46">0.5*C16*C2^2</f>
        <v>710.69963127932442</v>
      </c>
      <c r="D29" s="192">
        <f t="shared" si="46"/>
        <v>6396.2966815139198</v>
      </c>
      <c r="E29" s="192">
        <f t="shared" si="46"/>
        <v>17767.49078198311</v>
      </c>
      <c r="F29" s="192">
        <f t="shared" si="46"/>
        <v>34824.281932686892</v>
      </c>
      <c r="G29" s="192">
        <f t="shared" si="46"/>
        <v>71069.963127932439</v>
      </c>
      <c r="H29" s="192">
        <f t="shared" si="46"/>
        <v>159907.41703784798</v>
      </c>
      <c r="I29" s="192">
        <f t="shared" si="46"/>
        <v>284279.85251172975</v>
      </c>
      <c r="J29" s="192">
        <f t="shared" ref="J29:K29" si="47">0.5*J16*J2^2</f>
        <v>639629.6681513919</v>
      </c>
      <c r="K29" s="192">
        <f t="shared" si="47"/>
        <v>1776749.0781983112</v>
      </c>
    </row>
    <row r="30" spans="1:11" ht="14.5" outlineLevel="1">
      <c r="A30" t="s">
        <v>356</v>
      </c>
      <c r="B30" s="192">
        <f t="shared" ref="B30:K30" si="48">CrossSecAreaRocket</f>
        <v>1.3867686977437444E-2</v>
      </c>
      <c r="C30" s="192">
        <f t="shared" si="48"/>
        <v>1.3867686977437444E-2</v>
      </c>
      <c r="D30" s="192">
        <f t="shared" si="48"/>
        <v>1.3867686977437444E-2</v>
      </c>
      <c r="E30" s="192">
        <f t="shared" si="48"/>
        <v>1.3867686977437444E-2</v>
      </c>
      <c r="F30" s="192">
        <f t="shared" si="48"/>
        <v>1.3867686977437444E-2</v>
      </c>
      <c r="G30" s="192">
        <f t="shared" si="48"/>
        <v>1.3867686977437444E-2</v>
      </c>
      <c r="H30" s="192">
        <f t="shared" si="48"/>
        <v>1.3867686977437444E-2</v>
      </c>
      <c r="I30" s="192">
        <f t="shared" si="48"/>
        <v>1.3867686977437444E-2</v>
      </c>
      <c r="J30" s="192">
        <f t="shared" si="48"/>
        <v>1.3867686977437444E-2</v>
      </c>
      <c r="K30" s="192">
        <f t="shared" si="48"/>
        <v>1.3867686977437444E-2</v>
      </c>
    </row>
    <row r="31" spans="1:11" ht="15" customHeight="1" thickBot="1"/>
    <row r="32" spans="1:11" thickBot="1">
      <c r="A32" s="271" t="s">
        <v>362</v>
      </c>
    </row>
    <row r="33" spans="1:11" ht="14.5" outlineLevel="1">
      <c r="A33" t="s">
        <v>363</v>
      </c>
      <c r="B33" s="192">
        <f t="shared" ref="B33:K33" si="49">DiameterRocket</f>
        <v>12.7</v>
      </c>
      <c r="C33" s="192">
        <f t="shared" si="49"/>
        <v>12.7</v>
      </c>
      <c r="D33" s="192">
        <f t="shared" si="49"/>
        <v>12.7</v>
      </c>
      <c r="E33" s="192">
        <f t="shared" si="49"/>
        <v>12.7</v>
      </c>
      <c r="F33" s="192">
        <f t="shared" si="49"/>
        <v>12.7</v>
      </c>
      <c r="G33" s="192">
        <f t="shared" si="49"/>
        <v>12.7</v>
      </c>
      <c r="H33" s="192">
        <f t="shared" si="49"/>
        <v>12.7</v>
      </c>
      <c r="I33" s="192">
        <f t="shared" si="49"/>
        <v>12.7</v>
      </c>
      <c r="J33" s="192">
        <f t="shared" si="49"/>
        <v>12.7</v>
      </c>
      <c r="K33" s="192">
        <f t="shared" si="49"/>
        <v>12.7</v>
      </c>
    </row>
    <row r="34" spans="1:11" ht="14.5" outlineLevel="1">
      <c r="A34" t="s">
        <v>364</v>
      </c>
      <c r="B34" s="192">
        <f t="shared" ref="B34" si="50">B33/100</f>
        <v>0.127</v>
      </c>
      <c r="C34" s="192">
        <f t="shared" ref="C34:I34" si="51">C33/100</f>
        <v>0.127</v>
      </c>
      <c r="D34" s="192">
        <f t="shared" si="51"/>
        <v>0.127</v>
      </c>
      <c r="E34" s="192">
        <f t="shared" si="51"/>
        <v>0.127</v>
      </c>
      <c r="F34" s="192">
        <f t="shared" si="51"/>
        <v>0.127</v>
      </c>
      <c r="G34" s="192">
        <f t="shared" si="51"/>
        <v>0.127</v>
      </c>
      <c r="H34" s="192">
        <f t="shared" si="51"/>
        <v>0.127</v>
      </c>
      <c r="I34" s="192">
        <f t="shared" si="51"/>
        <v>0.127</v>
      </c>
      <c r="J34" s="192">
        <f t="shared" ref="J34:K34" si="52">J33/100</f>
        <v>0.127</v>
      </c>
      <c r="K34" s="192">
        <f t="shared" si="52"/>
        <v>0.127</v>
      </c>
    </row>
    <row r="35" spans="1:11" ht="14.5" outlineLevel="1">
      <c r="A35" t="s">
        <v>365</v>
      </c>
      <c r="B35" s="264">
        <f t="shared" ref="B35" si="53">((B39-B37)/(-B47))*(B47+B33/2)+B39</f>
        <v>17.116666666666667</v>
      </c>
      <c r="C35" s="264">
        <f t="shared" ref="C35:I35" si="54">((C39-C37)/(-C47))*(C47+C33/2)+C39</f>
        <v>17.116666666666667</v>
      </c>
      <c r="D35" s="264">
        <f t="shared" si="54"/>
        <v>17.116666666666667</v>
      </c>
      <c r="E35" s="264">
        <f t="shared" si="54"/>
        <v>17.116666666666667</v>
      </c>
      <c r="F35" s="264">
        <f t="shared" si="54"/>
        <v>17.116666666666667</v>
      </c>
      <c r="G35" s="264">
        <f t="shared" si="54"/>
        <v>17.116666666666667</v>
      </c>
      <c r="H35" s="264">
        <f t="shared" si="54"/>
        <v>17.116666666666667</v>
      </c>
      <c r="I35" s="264">
        <f t="shared" si="54"/>
        <v>17.116666666666667</v>
      </c>
      <c r="J35" s="264">
        <f t="shared" ref="J35:K35" si="55">((J39-J37)/(-J47))*(J47+J33/2)+J39</f>
        <v>17.116666666666667</v>
      </c>
      <c r="K35" s="264">
        <f t="shared" si="55"/>
        <v>17.116666666666667</v>
      </c>
    </row>
    <row r="36" spans="1:11" ht="14.5" outlineLevel="1">
      <c r="A36" t="s">
        <v>366</v>
      </c>
      <c r="B36" s="192">
        <f t="shared" ref="B36" si="56">B35/100</f>
        <v>0.17116666666666666</v>
      </c>
      <c r="C36" s="192">
        <f t="shared" ref="C36:I36" si="57">C35/100</f>
        <v>0.17116666666666666</v>
      </c>
      <c r="D36" s="192">
        <f t="shared" si="57"/>
        <v>0.17116666666666666</v>
      </c>
      <c r="E36" s="192">
        <f t="shared" si="57"/>
        <v>0.17116666666666666</v>
      </c>
      <c r="F36" s="192">
        <f t="shared" si="57"/>
        <v>0.17116666666666666</v>
      </c>
      <c r="G36" s="192">
        <f t="shared" si="57"/>
        <v>0.17116666666666666</v>
      </c>
      <c r="H36" s="192">
        <f t="shared" si="57"/>
        <v>0.17116666666666666</v>
      </c>
      <c r="I36" s="192">
        <f t="shared" si="57"/>
        <v>0.17116666666666666</v>
      </c>
      <c r="J36" s="192">
        <f t="shared" ref="J36:K36" si="58">J35/100</f>
        <v>0.17116666666666666</v>
      </c>
      <c r="K36" s="192">
        <f t="shared" si="58"/>
        <v>0.17116666666666666</v>
      </c>
    </row>
    <row r="37" spans="1:11" ht="14.5" outlineLevel="1">
      <c r="A37" s="269" t="s">
        <v>367</v>
      </c>
      <c r="B37" s="192">
        <v>15</v>
      </c>
      <c r="C37" s="192">
        <v>15</v>
      </c>
      <c r="D37" s="192">
        <v>15</v>
      </c>
      <c r="E37" s="192">
        <v>15</v>
      </c>
      <c r="F37" s="192">
        <v>15</v>
      </c>
      <c r="G37" s="192">
        <v>15</v>
      </c>
      <c r="H37" s="192">
        <v>15</v>
      </c>
      <c r="I37" s="192">
        <v>15</v>
      </c>
      <c r="J37" s="192">
        <v>15</v>
      </c>
      <c r="K37" s="192">
        <v>15</v>
      </c>
    </row>
    <row r="38" spans="1:11" ht="14.5" outlineLevel="1">
      <c r="A38" t="s">
        <v>364</v>
      </c>
      <c r="B38" s="192">
        <f t="shared" ref="B38" si="59">B37/100</f>
        <v>0.15</v>
      </c>
      <c r="C38" s="192">
        <f t="shared" ref="C38:I38" si="60">C37/100</f>
        <v>0.15</v>
      </c>
      <c r="D38" s="192">
        <f t="shared" si="60"/>
        <v>0.15</v>
      </c>
      <c r="E38" s="192">
        <f t="shared" si="60"/>
        <v>0.15</v>
      </c>
      <c r="F38" s="192">
        <f t="shared" si="60"/>
        <v>0.15</v>
      </c>
      <c r="G38" s="192">
        <f t="shared" si="60"/>
        <v>0.15</v>
      </c>
      <c r="H38" s="192">
        <f t="shared" si="60"/>
        <v>0.15</v>
      </c>
      <c r="I38" s="192">
        <f t="shared" si="60"/>
        <v>0.15</v>
      </c>
      <c r="J38" s="192">
        <f t="shared" ref="J38:K38" si="61">J37/100</f>
        <v>0.15</v>
      </c>
      <c r="K38" s="192">
        <f t="shared" si="61"/>
        <v>0.15</v>
      </c>
    </row>
    <row r="39" spans="1:11" ht="14.5" outlineLevel="1">
      <c r="A39" s="269" t="s">
        <v>368</v>
      </c>
      <c r="B39" s="192">
        <v>10</v>
      </c>
      <c r="C39" s="192">
        <v>10</v>
      </c>
      <c r="D39" s="192">
        <v>10</v>
      </c>
      <c r="E39" s="192">
        <v>10</v>
      </c>
      <c r="F39" s="192">
        <v>10</v>
      </c>
      <c r="G39" s="192">
        <v>10</v>
      </c>
      <c r="H39" s="192">
        <v>10</v>
      </c>
      <c r="I39" s="192">
        <v>10</v>
      </c>
      <c r="J39" s="192">
        <v>10</v>
      </c>
      <c r="K39" s="192">
        <v>10</v>
      </c>
    </row>
    <row r="40" spans="1:11" ht="14.5" outlineLevel="1">
      <c r="A40" t="s">
        <v>364</v>
      </c>
      <c r="B40" s="192">
        <f t="shared" ref="B40" si="62">B39/100</f>
        <v>0.1</v>
      </c>
      <c r="C40" s="192">
        <f t="shared" ref="C40:I40" si="63">C39/100</f>
        <v>0.1</v>
      </c>
      <c r="D40" s="192">
        <f t="shared" si="63"/>
        <v>0.1</v>
      </c>
      <c r="E40" s="192">
        <f t="shared" si="63"/>
        <v>0.1</v>
      </c>
      <c r="F40" s="192">
        <f t="shared" si="63"/>
        <v>0.1</v>
      </c>
      <c r="G40" s="192">
        <f t="shared" si="63"/>
        <v>0.1</v>
      </c>
      <c r="H40" s="192">
        <f t="shared" si="63"/>
        <v>0.1</v>
      </c>
      <c r="I40" s="192">
        <f t="shared" si="63"/>
        <v>0.1</v>
      </c>
      <c r="J40" s="192">
        <f t="shared" ref="J40:K40" si="64">J39/100</f>
        <v>0.1</v>
      </c>
      <c r="K40" s="192">
        <f t="shared" si="64"/>
        <v>0.1</v>
      </c>
    </row>
    <row r="41" spans="1:11" ht="14.5" outlineLevel="1">
      <c r="A41" s="269" t="s">
        <v>369</v>
      </c>
      <c r="B41" s="192">
        <v>2</v>
      </c>
      <c r="C41" s="192">
        <v>2</v>
      </c>
      <c r="D41" s="192">
        <v>2</v>
      </c>
      <c r="E41" s="192">
        <v>2</v>
      </c>
      <c r="F41" s="192">
        <v>2</v>
      </c>
      <c r="G41" s="192">
        <v>2</v>
      </c>
      <c r="H41" s="192">
        <v>2</v>
      </c>
      <c r="I41" s="192">
        <v>2</v>
      </c>
      <c r="J41" s="192">
        <v>2</v>
      </c>
      <c r="K41" s="192">
        <v>2</v>
      </c>
    </row>
    <row r="42" spans="1:11" ht="14.5" outlineLevel="1">
      <c r="A42" t="s">
        <v>364</v>
      </c>
      <c r="B42" s="192">
        <f t="shared" ref="B42" si="65">B41/100</f>
        <v>0.02</v>
      </c>
      <c r="C42" s="192">
        <f t="shared" ref="C42:I42" si="66">C41/100</f>
        <v>0.02</v>
      </c>
      <c r="D42" s="192">
        <f t="shared" si="66"/>
        <v>0.02</v>
      </c>
      <c r="E42" s="192">
        <f t="shared" si="66"/>
        <v>0.02</v>
      </c>
      <c r="F42" s="192">
        <f t="shared" si="66"/>
        <v>0.02</v>
      </c>
      <c r="G42" s="192">
        <f t="shared" si="66"/>
        <v>0.02</v>
      </c>
      <c r="H42" s="192">
        <f t="shared" si="66"/>
        <v>0.02</v>
      </c>
      <c r="I42" s="192">
        <f t="shared" si="66"/>
        <v>0.02</v>
      </c>
      <c r="J42" s="192">
        <f t="shared" ref="J42:K42" si="67">J41/100</f>
        <v>0.02</v>
      </c>
      <c r="K42" s="192">
        <f t="shared" si="67"/>
        <v>0.02</v>
      </c>
    </row>
    <row r="43" spans="1:11" ht="14.5" outlineLevel="1">
      <c r="A43" s="269" t="s">
        <v>370</v>
      </c>
      <c r="B43" s="192">
        <v>45</v>
      </c>
      <c r="C43" s="192">
        <v>45</v>
      </c>
      <c r="D43" s="192">
        <v>45</v>
      </c>
      <c r="E43" s="192">
        <v>45</v>
      </c>
      <c r="F43" s="192">
        <v>45</v>
      </c>
      <c r="G43" s="192">
        <v>45</v>
      </c>
      <c r="H43" s="192">
        <v>45</v>
      </c>
      <c r="I43" s="192">
        <v>45</v>
      </c>
      <c r="J43" s="192">
        <v>45</v>
      </c>
      <c r="K43" s="192">
        <v>45</v>
      </c>
    </row>
    <row r="44" spans="1:11" ht="14.5" outlineLevel="1">
      <c r="A44" t="s">
        <v>371</v>
      </c>
      <c r="B44" s="192">
        <f t="shared" ref="B44" si="68">B39/B37</f>
        <v>0.66666666666666663</v>
      </c>
      <c r="C44" s="192">
        <f t="shared" ref="C44:I44" si="69">C39/C37</f>
        <v>0.66666666666666663</v>
      </c>
      <c r="D44" s="192">
        <f t="shared" si="69"/>
        <v>0.66666666666666663</v>
      </c>
      <c r="E44" s="192">
        <f t="shared" si="69"/>
        <v>0.66666666666666663</v>
      </c>
      <c r="F44" s="192">
        <f t="shared" si="69"/>
        <v>0.66666666666666663</v>
      </c>
      <c r="G44" s="192">
        <f t="shared" si="69"/>
        <v>0.66666666666666663</v>
      </c>
      <c r="H44" s="192">
        <f t="shared" si="69"/>
        <v>0.66666666666666663</v>
      </c>
      <c r="I44" s="192">
        <f t="shared" si="69"/>
        <v>0.66666666666666663</v>
      </c>
      <c r="J44" s="192">
        <f t="shared" ref="J44:K44" si="70">J39/J37</f>
        <v>0.66666666666666663</v>
      </c>
      <c r="K44" s="192">
        <f t="shared" si="70"/>
        <v>0.66666666666666663</v>
      </c>
    </row>
    <row r="45" spans="1:11" ht="14.5" outlineLevel="1">
      <c r="A45" t="s">
        <v>372</v>
      </c>
      <c r="B45" s="192">
        <f t="shared" ref="B45" si="71">B47+B33/2</f>
        <v>21.35</v>
      </c>
      <c r="C45" s="192">
        <f t="shared" ref="C45:I45" si="72">C47+C33/2</f>
        <v>21.35</v>
      </c>
      <c r="D45" s="192">
        <f t="shared" si="72"/>
        <v>21.35</v>
      </c>
      <c r="E45" s="192">
        <f t="shared" si="72"/>
        <v>21.35</v>
      </c>
      <c r="F45" s="192">
        <f t="shared" si="72"/>
        <v>21.35</v>
      </c>
      <c r="G45" s="192">
        <f t="shared" si="72"/>
        <v>21.35</v>
      </c>
      <c r="H45" s="192">
        <f t="shared" si="72"/>
        <v>21.35</v>
      </c>
      <c r="I45" s="192">
        <f t="shared" si="72"/>
        <v>21.35</v>
      </c>
      <c r="J45" s="192">
        <f t="shared" ref="J45:K45" si="73">J47+J33/2</f>
        <v>21.35</v>
      </c>
      <c r="K45" s="192">
        <f t="shared" si="73"/>
        <v>21.35</v>
      </c>
    </row>
    <row r="46" spans="1:11" ht="14.5" outlineLevel="1">
      <c r="A46" t="s">
        <v>364</v>
      </c>
      <c r="B46" s="192">
        <f t="shared" ref="B46" si="74">B45/100</f>
        <v>0.21350000000000002</v>
      </c>
      <c r="C46" s="192">
        <f t="shared" ref="C46:I46" si="75">C45/100</f>
        <v>0.21350000000000002</v>
      </c>
      <c r="D46" s="192">
        <f t="shared" si="75"/>
        <v>0.21350000000000002</v>
      </c>
      <c r="E46" s="192">
        <f t="shared" si="75"/>
        <v>0.21350000000000002</v>
      </c>
      <c r="F46" s="192">
        <f t="shared" si="75"/>
        <v>0.21350000000000002</v>
      </c>
      <c r="G46" s="192">
        <f t="shared" si="75"/>
        <v>0.21350000000000002</v>
      </c>
      <c r="H46" s="192">
        <f t="shared" si="75"/>
        <v>0.21350000000000002</v>
      </c>
      <c r="I46" s="192">
        <f t="shared" si="75"/>
        <v>0.21350000000000002</v>
      </c>
      <c r="J46" s="192">
        <f t="shared" ref="J46:K46" si="76">J45/100</f>
        <v>0.21350000000000002</v>
      </c>
      <c r="K46" s="192">
        <f t="shared" si="76"/>
        <v>0.21350000000000002</v>
      </c>
    </row>
    <row r="47" spans="1:11" ht="14.5" outlineLevel="1">
      <c r="A47" s="269" t="s">
        <v>373</v>
      </c>
      <c r="B47" s="192">
        <v>15</v>
      </c>
      <c r="C47" s="192">
        <v>15</v>
      </c>
      <c r="D47" s="192">
        <v>15</v>
      </c>
      <c r="E47" s="192">
        <v>15</v>
      </c>
      <c r="F47" s="192">
        <v>15</v>
      </c>
      <c r="G47" s="192">
        <v>15</v>
      </c>
      <c r="H47" s="192">
        <v>15</v>
      </c>
      <c r="I47" s="192">
        <v>15</v>
      </c>
      <c r="J47" s="192">
        <v>15</v>
      </c>
      <c r="K47" s="192">
        <v>15</v>
      </c>
    </row>
    <row r="48" spans="1:11" ht="14.5" outlineLevel="1">
      <c r="A48" t="s">
        <v>366</v>
      </c>
      <c r="B48" s="192">
        <f t="shared" ref="B48" si="77">B47/100</f>
        <v>0.15</v>
      </c>
      <c r="C48" s="192">
        <f t="shared" ref="C48:I48" si="78">C47/100</f>
        <v>0.15</v>
      </c>
      <c r="D48" s="192">
        <f t="shared" si="78"/>
        <v>0.15</v>
      </c>
      <c r="E48" s="192">
        <f t="shared" si="78"/>
        <v>0.15</v>
      </c>
      <c r="F48" s="192">
        <f t="shared" si="78"/>
        <v>0.15</v>
      </c>
      <c r="G48" s="192">
        <f t="shared" si="78"/>
        <v>0.15</v>
      </c>
      <c r="H48" s="192">
        <f t="shared" si="78"/>
        <v>0.15</v>
      </c>
      <c r="I48" s="192">
        <f t="shared" si="78"/>
        <v>0.15</v>
      </c>
      <c r="J48" s="192">
        <f t="shared" ref="J48:K48" si="79">J47/100</f>
        <v>0.15</v>
      </c>
      <c r="K48" s="192">
        <f t="shared" si="79"/>
        <v>0.15</v>
      </c>
    </row>
    <row r="49" spans="1:11" ht="14.5" outlineLevel="1">
      <c r="A49" t="s">
        <v>374</v>
      </c>
      <c r="B49" s="192">
        <f>(B40+B36)*B46/2</f>
        <v>2.894704166666667E-2</v>
      </c>
      <c r="C49" s="192">
        <f t="shared" ref="C49:I49" si="80">(C40+C36)*C46/2</f>
        <v>2.894704166666667E-2</v>
      </c>
      <c r="D49" s="192">
        <f t="shared" si="80"/>
        <v>2.894704166666667E-2</v>
      </c>
      <c r="E49" s="192">
        <f t="shared" si="80"/>
        <v>2.894704166666667E-2</v>
      </c>
      <c r="F49" s="192">
        <f t="shared" si="80"/>
        <v>2.894704166666667E-2</v>
      </c>
      <c r="G49" s="192">
        <f t="shared" si="80"/>
        <v>2.894704166666667E-2</v>
      </c>
      <c r="H49" s="192">
        <f t="shared" si="80"/>
        <v>2.894704166666667E-2</v>
      </c>
      <c r="I49" s="192">
        <f t="shared" si="80"/>
        <v>2.894704166666667E-2</v>
      </c>
      <c r="J49" s="192">
        <f t="shared" ref="J49:K49" si="81">(J40+J36)*J46/2</f>
        <v>2.894704166666667E-2</v>
      </c>
      <c r="K49" s="192">
        <f t="shared" si="81"/>
        <v>2.894704166666667E-2</v>
      </c>
    </row>
    <row r="50" spans="1:11" ht="14.5" outlineLevel="1">
      <c r="A50" t="s">
        <v>375</v>
      </c>
      <c r="B50" s="192">
        <f t="shared" ref="B50" si="82">(B38+B40)*B48/2</f>
        <v>1.8749999999999999E-2</v>
      </c>
      <c r="C50" s="192">
        <f t="shared" ref="C50:I50" si="83">(C38+C40)*C48/2</f>
        <v>1.8749999999999999E-2</v>
      </c>
      <c r="D50" s="192">
        <f t="shared" si="83"/>
        <v>1.8749999999999999E-2</v>
      </c>
      <c r="E50" s="192">
        <f t="shared" si="83"/>
        <v>1.8749999999999999E-2</v>
      </c>
      <c r="F50" s="192">
        <f t="shared" si="83"/>
        <v>1.8749999999999999E-2</v>
      </c>
      <c r="G50" s="192">
        <f t="shared" si="83"/>
        <v>1.8749999999999999E-2</v>
      </c>
      <c r="H50" s="192">
        <f t="shared" si="83"/>
        <v>1.8749999999999999E-2</v>
      </c>
      <c r="I50" s="192">
        <f t="shared" si="83"/>
        <v>1.8749999999999999E-2</v>
      </c>
      <c r="J50" s="192">
        <f t="shared" ref="J50:K50" si="84">(J38+J40)*J48/2</f>
        <v>1.8749999999999999E-2</v>
      </c>
      <c r="K50" s="192">
        <f t="shared" si="84"/>
        <v>1.8749999999999999E-2</v>
      </c>
    </row>
    <row r="51" spans="1:11" ht="14.5" outlineLevel="1">
      <c r="A51" t="s">
        <v>376</v>
      </c>
      <c r="B51" s="264">
        <f>((B46+B46)^2)/(B49+B49)</f>
        <v>3.1493546404425325</v>
      </c>
      <c r="C51" s="264">
        <f t="shared" ref="C51:I51" si="85">((C46+C46)^2)/(C49+C49)</f>
        <v>3.1493546404425325</v>
      </c>
      <c r="D51" s="264">
        <f t="shared" si="85"/>
        <v>3.1493546404425325</v>
      </c>
      <c r="E51" s="264">
        <f t="shared" si="85"/>
        <v>3.1493546404425325</v>
      </c>
      <c r="F51" s="264">
        <f t="shared" si="85"/>
        <v>3.1493546404425325</v>
      </c>
      <c r="G51" s="264">
        <f t="shared" si="85"/>
        <v>3.1493546404425325</v>
      </c>
      <c r="H51" s="264">
        <f t="shared" si="85"/>
        <v>3.1493546404425325</v>
      </c>
      <c r="I51" s="264">
        <f t="shared" si="85"/>
        <v>3.1493546404425325</v>
      </c>
      <c r="J51" s="264">
        <f t="shared" ref="J51:K51" si="86">((J46+J46)^2)/(J49+J49)</f>
        <v>3.1493546404425325</v>
      </c>
      <c r="K51" s="264">
        <f t="shared" si="86"/>
        <v>3.1493546404425325</v>
      </c>
    </row>
    <row r="52" spans="1:11" thickBot="1">
      <c r="B52" s="264"/>
      <c r="C52" s="264"/>
      <c r="D52" s="264"/>
      <c r="E52" s="264"/>
      <c r="F52" s="264"/>
      <c r="G52" s="264"/>
      <c r="H52" s="264"/>
      <c r="I52" s="264"/>
      <c r="J52" s="264"/>
      <c r="K52" s="264"/>
    </row>
    <row r="53" spans="1:11" thickBot="1">
      <c r="A53" s="271" t="s">
        <v>377</v>
      </c>
      <c r="B53" s="264"/>
      <c r="C53" s="264"/>
      <c r="D53" s="264"/>
      <c r="E53" s="264"/>
      <c r="F53" s="264"/>
      <c r="G53" s="264"/>
      <c r="H53" s="264"/>
      <c r="I53" s="264"/>
      <c r="J53" s="264"/>
      <c r="K53" s="264"/>
    </row>
    <row r="54" spans="1:11" ht="14.5">
      <c r="A54" t="s">
        <v>378</v>
      </c>
      <c r="B54" s="264">
        <f t="shared" ref="B54" si="87">B48/(10+1)</f>
        <v>1.3636363636363636E-2</v>
      </c>
      <c r="C54" s="264">
        <f t="shared" ref="C54:I54" si="88">C48/(10+1)</f>
        <v>1.3636363636363636E-2</v>
      </c>
      <c r="D54" s="264">
        <f t="shared" si="88"/>
        <v>1.3636363636363636E-2</v>
      </c>
      <c r="E54" s="264">
        <f t="shared" si="88"/>
        <v>1.3636363636363636E-2</v>
      </c>
      <c r="F54" s="264">
        <f t="shared" si="88"/>
        <v>1.3636363636363636E-2</v>
      </c>
      <c r="G54" s="264">
        <f t="shared" si="88"/>
        <v>1.3636363636363636E-2</v>
      </c>
      <c r="H54" s="264">
        <f t="shared" si="88"/>
        <v>1.3636363636363636E-2</v>
      </c>
      <c r="I54" s="264">
        <f t="shared" si="88"/>
        <v>1.3636363636363636E-2</v>
      </c>
      <c r="J54" s="264">
        <f t="shared" ref="J54:K54" si="89">J48/(10+1)</f>
        <v>1.3636363636363636E-2</v>
      </c>
      <c r="K54" s="264">
        <f t="shared" si="89"/>
        <v>1.3636363636363636E-2</v>
      </c>
    </row>
    <row r="55" spans="1:11" ht="14.5">
      <c r="A55" t="s">
        <v>379</v>
      </c>
      <c r="B55" s="264">
        <f t="shared" ref="B55" si="90">(B37-B39)/(-B47)</f>
        <v>-0.33333333333333331</v>
      </c>
      <c r="C55" s="264">
        <f t="shared" ref="C55:I55" si="91">(C37-C39)/(-C47)</f>
        <v>-0.33333333333333331</v>
      </c>
      <c r="D55" s="264">
        <f t="shared" si="91"/>
        <v>-0.33333333333333331</v>
      </c>
      <c r="E55" s="264">
        <f t="shared" si="91"/>
        <v>-0.33333333333333331</v>
      </c>
      <c r="F55" s="264">
        <f t="shared" si="91"/>
        <v>-0.33333333333333331</v>
      </c>
      <c r="G55" s="264">
        <f t="shared" si="91"/>
        <v>-0.33333333333333331</v>
      </c>
      <c r="H55" s="264">
        <f t="shared" si="91"/>
        <v>-0.33333333333333331</v>
      </c>
      <c r="I55" s="264">
        <f t="shared" si="91"/>
        <v>-0.33333333333333331</v>
      </c>
      <c r="J55" s="264">
        <f t="shared" ref="J55:K55" si="92">(J37-J39)/(-J47)</f>
        <v>-0.33333333333333331</v>
      </c>
      <c r="K55" s="264">
        <f t="shared" si="92"/>
        <v>-0.33333333333333331</v>
      </c>
    </row>
    <row r="56" spans="1:11" ht="14.5">
      <c r="A56" t="s">
        <v>380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4"/>
    </row>
    <row r="57" spans="1:11" ht="14.5" hidden="1" outlineLevel="1">
      <c r="A57">
        <v>1</v>
      </c>
      <c r="B57" s="264">
        <f>(B54/2)</f>
        <v>6.8181818181818179E-3</v>
      </c>
      <c r="C57" s="264">
        <f t="shared" ref="C57:I57" si="93">(C54/2)</f>
        <v>6.8181818181818179E-3</v>
      </c>
      <c r="D57" s="264">
        <f t="shared" si="93"/>
        <v>6.8181818181818179E-3</v>
      </c>
      <c r="E57" s="264">
        <f t="shared" si="93"/>
        <v>6.8181818181818179E-3</v>
      </c>
      <c r="F57" s="264">
        <f t="shared" si="93"/>
        <v>6.8181818181818179E-3</v>
      </c>
      <c r="G57" s="264">
        <f t="shared" si="93"/>
        <v>6.8181818181818179E-3</v>
      </c>
      <c r="H57" s="264">
        <f t="shared" si="93"/>
        <v>6.8181818181818179E-3</v>
      </c>
      <c r="I57" s="264">
        <f t="shared" si="93"/>
        <v>6.8181818181818179E-3</v>
      </c>
      <c r="J57" s="264">
        <f t="shared" ref="J57:K57" si="94">(J54/2)</f>
        <v>6.8181818181818179E-3</v>
      </c>
      <c r="K57" s="264">
        <f t="shared" si="94"/>
        <v>6.8181818181818179E-3</v>
      </c>
    </row>
    <row r="58" spans="1:11" ht="14.5" hidden="1" outlineLevel="1">
      <c r="A58">
        <v>2</v>
      </c>
      <c r="B58" s="264">
        <f>B57+B54</f>
        <v>2.0454545454545454E-2</v>
      </c>
      <c r="C58" s="264">
        <f t="shared" ref="C58:I58" si="95">C57+C54</f>
        <v>2.0454545454545454E-2</v>
      </c>
      <c r="D58" s="264">
        <f t="shared" si="95"/>
        <v>2.0454545454545454E-2</v>
      </c>
      <c r="E58" s="264">
        <f t="shared" si="95"/>
        <v>2.0454545454545454E-2</v>
      </c>
      <c r="F58" s="264">
        <f t="shared" si="95"/>
        <v>2.0454545454545454E-2</v>
      </c>
      <c r="G58" s="264">
        <f t="shared" si="95"/>
        <v>2.0454545454545454E-2</v>
      </c>
      <c r="H58" s="264">
        <f t="shared" si="95"/>
        <v>2.0454545454545454E-2</v>
      </c>
      <c r="I58" s="264">
        <f t="shared" si="95"/>
        <v>2.0454545454545454E-2</v>
      </c>
      <c r="J58" s="264">
        <f t="shared" ref="J58" si="96">J57+J54</f>
        <v>2.0454545454545454E-2</v>
      </c>
      <c r="K58" s="264">
        <f t="shared" ref="K58" si="97">K57+K54</f>
        <v>2.0454545454545454E-2</v>
      </c>
    </row>
    <row r="59" spans="1:11" ht="14.5" hidden="1" outlineLevel="1">
      <c r="A59">
        <v>3</v>
      </c>
      <c r="B59" s="264">
        <f t="shared" ref="B59" si="98">B58+B$54</f>
        <v>3.4090909090909088E-2</v>
      </c>
      <c r="C59" s="264">
        <f t="shared" ref="C59:I59" si="99">C58+C$54</f>
        <v>3.4090909090909088E-2</v>
      </c>
      <c r="D59" s="264">
        <f t="shared" si="99"/>
        <v>3.4090909090909088E-2</v>
      </c>
      <c r="E59" s="264">
        <f t="shared" si="99"/>
        <v>3.4090909090909088E-2</v>
      </c>
      <c r="F59" s="264">
        <f t="shared" si="99"/>
        <v>3.4090909090909088E-2</v>
      </c>
      <c r="G59" s="264">
        <f t="shared" si="99"/>
        <v>3.4090909090909088E-2</v>
      </c>
      <c r="H59" s="264">
        <f t="shared" si="99"/>
        <v>3.4090909090909088E-2</v>
      </c>
      <c r="I59" s="264">
        <f t="shared" si="99"/>
        <v>3.4090909090909088E-2</v>
      </c>
      <c r="J59" s="264">
        <f t="shared" ref="J59:K59" si="100">J58+J$54</f>
        <v>3.4090909090909088E-2</v>
      </c>
      <c r="K59" s="264">
        <f t="shared" si="100"/>
        <v>3.4090909090909088E-2</v>
      </c>
    </row>
    <row r="60" spans="1:11" ht="14.5" hidden="1" outlineLevel="1">
      <c r="A60">
        <v>4</v>
      </c>
      <c r="B60" s="264">
        <f t="shared" ref="B60:B67" si="101">B59+B$54</f>
        <v>4.7727272727272722E-2</v>
      </c>
      <c r="C60" s="264">
        <f t="shared" ref="C60:I60" si="102">C59+C$54</f>
        <v>4.7727272727272722E-2</v>
      </c>
      <c r="D60" s="264">
        <f t="shared" si="102"/>
        <v>4.7727272727272722E-2</v>
      </c>
      <c r="E60" s="264">
        <f t="shared" si="102"/>
        <v>4.7727272727272722E-2</v>
      </c>
      <c r="F60" s="264">
        <f t="shared" si="102"/>
        <v>4.7727272727272722E-2</v>
      </c>
      <c r="G60" s="264">
        <f t="shared" si="102"/>
        <v>4.7727272727272722E-2</v>
      </c>
      <c r="H60" s="264">
        <f t="shared" si="102"/>
        <v>4.7727272727272722E-2</v>
      </c>
      <c r="I60" s="264">
        <f t="shared" si="102"/>
        <v>4.7727272727272722E-2</v>
      </c>
      <c r="J60" s="264">
        <f t="shared" ref="J60:K60" si="103">J59+J$54</f>
        <v>4.7727272727272722E-2</v>
      </c>
      <c r="K60" s="264">
        <f t="shared" si="103"/>
        <v>4.7727272727272722E-2</v>
      </c>
    </row>
    <row r="61" spans="1:11" ht="14.5" hidden="1" outlineLevel="1">
      <c r="A61">
        <v>5</v>
      </c>
      <c r="B61" s="264">
        <f t="shared" si="101"/>
        <v>6.1363636363636356E-2</v>
      </c>
      <c r="C61" s="264">
        <f t="shared" ref="C61:I61" si="104">C60+C$54</f>
        <v>6.1363636363636356E-2</v>
      </c>
      <c r="D61" s="264">
        <f t="shared" si="104"/>
        <v>6.1363636363636356E-2</v>
      </c>
      <c r="E61" s="264">
        <f t="shared" si="104"/>
        <v>6.1363636363636356E-2</v>
      </c>
      <c r="F61" s="264">
        <f t="shared" si="104"/>
        <v>6.1363636363636356E-2</v>
      </c>
      <c r="G61" s="264">
        <f t="shared" si="104"/>
        <v>6.1363636363636356E-2</v>
      </c>
      <c r="H61" s="264">
        <f t="shared" si="104"/>
        <v>6.1363636363636356E-2</v>
      </c>
      <c r="I61" s="264">
        <f t="shared" si="104"/>
        <v>6.1363636363636356E-2</v>
      </c>
      <c r="J61" s="264">
        <f t="shared" ref="J61:K61" si="105">J60+J$54</f>
        <v>6.1363636363636356E-2</v>
      </c>
      <c r="K61" s="264">
        <f t="shared" si="105"/>
        <v>6.1363636363636356E-2</v>
      </c>
    </row>
    <row r="62" spans="1:11" ht="14.5" hidden="1" outlineLevel="1">
      <c r="A62">
        <v>6</v>
      </c>
      <c r="B62" s="264">
        <f t="shared" si="101"/>
        <v>7.4999999999999997E-2</v>
      </c>
      <c r="C62" s="264">
        <f t="shared" ref="C62:I62" si="106">C61+C$54</f>
        <v>7.4999999999999997E-2</v>
      </c>
      <c r="D62" s="264">
        <f t="shared" si="106"/>
        <v>7.4999999999999997E-2</v>
      </c>
      <c r="E62" s="264">
        <f t="shared" si="106"/>
        <v>7.4999999999999997E-2</v>
      </c>
      <c r="F62" s="264">
        <f t="shared" si="106"/>
        <v>7.4999999999999997E-2</v>
      </c>
      <c r="G62" s="264">
        <f t="shared" si="106"/>
        <v>7.4999999999999997E-2</v>
      </c>
      <c r="H62" s="264">
        <f t="shared" si="106"/>
        <v>7.4999999999999997E-2</v>
      </c>
      <c r="I62" s="264">
        <f t="shared" si="106"/>
        <v>7.4999999999999997E-2</v>
      </c>
      <c r="J62" s="264">
        <f t="shared" ref="J62:K62" si="107">J61+J$54</f>
        <v>7.4999999999999997E-2</v>
      </c>
      <c r="K62" s="264">
        <f t="shared" si="107"/>
        <v>7.4999999999999997E-2</v>
      </c>
    </row>
    <row r="63" spans="1:11" ht="14.5" hidden="1" outlineLevel="1">
      <c r="A63">
        <v>7</v>
      </c>
      <c r="B63" s="264">
        <f t="shared" si="101"/>
        <v>8.8636363636363638E-2</v>
      </c>
      <c r="C63" s="264">
        <f t="shared" ref="C63:I63" si="108">C62+C$54</f>
        <v>8.8636363636363638E-2</v>
      </c>
      <c r="D63" s="264">
        <f t="shared" si="108"/>
        <v>8.8636363636363638E-2</v>
      </c>
      <c r="E63" s="264">
        <f t="shared" si="108"/>
        <v>8.8636363636363638E-2</v>
      </c>
      <c r="F63" s="264">
        <f t="shared" si="108"/>
        <v>8.8636363636363638E-2</v>
      </c>
      <c r="G63" s="264">
        <f t="shared" si="108"/>
        <v>8.8636363636363638E-2</v>
      </c>
      <c r="H63" s="264">
        <f t="shared" si="108"/>
        <v>8.8636363636363638E-2</v>
      </c>
      <c r="I63" s="264">
        <f t="shared" si="108"/>
        <v>8.8636363636363638E-2</v>
      </c>
      <c r="J63" s="264">
        <f t="shared" ref="J63:K63" si="109">J62+J$54</f>
        <v>8.8636363636363638E-2</v>
      </c>
      <c r="K63" s="264">
        <f t="shared" si="109"/>
        <v>8.8636363636363638E-2</v>
      </c>
    </row>
    <row r="64" spans="1:11" ht="14.5" hidden="1" outlineLevel="1">
      <c r="A64">
        <v>8</v>
      </c>
      <c r="B64" s="264">
        <f t="shared" si="101"/>
        <v>0.10227272727272728</v>
      </c>
      <c r="C64" s="264">
        <f t="shared" ref="C64:I64" si="110">C63+C$54</f>
        <v>0.10227272727272728</v>
      </c>
      <c r="D64" s="264">
        <f t="shared" si="110"/>
        <v>0.10227272727272728</v>
      </c>
      <c r="E64" s="264">
        <f t="shared" si="110"/>
        <v>0.10227272727272728</v>
      </c>
      <c r="F64" s="264">
        <f t="shared" si="110"/>
        <v>0.10227272727272728</v>
      </c>
      <c r="G64" s="264">
        <f t="shared" si="110"/>
        <v>0.10227272727272728</v>
      </c>
      <c r="H64" s="264">
        <f t="shared" si="110"/>
        <v>0.10227272727272728</v>
      </c>
      <c r="I64" s="264">
        <f t="shared" si="110"/>
        <v>0.10227272727272728</v>
      </c>
      <c r="J64" s="264">
        <f t="shared" ref="J64:K64" si="111">J63+J$54</f>
        <v>0.10227272727272728</v>
      </c>
      <c r="K64" s="264">
        <f t="shared" si="111"/>
        <v>0.10227272727272728</v>
      </c>
    </row>
    <row r="65" spans="1:11" ht="14.5" hidden="1" outlineLevel="1">
      <c r="A65">
        <v>9</v>
      </c>
      <c r="B65" s="264">
        <f t="shared" si="101"/>
        <v>0.11590909090909092</v>
      </c>
      <c r="C65" s="264">
        <f t="shared" ref="C65:I65" si="112">C64+C$54</f>
        <v>0.11590909090909092</v>
      </c>
      <c r="D65" s="264">
        <f t="shared" si="112"/>
        <v>0.11590909090909092</v>
      </c>
      <c r="E65" s="264">
        <f t="shared" si="112"/>
        <v>0.11590909090909092</v>
      </c>
      <c r="F65" s="264">
        <f t="shared" si="112"/>
        <v>0.11590909090909092</v>
      </c>
      <c r="G65" s="264">
        <f t="shared" si="112"/>
        <v>0.11590909090909092</v>
      </c>
      <c r="H65" s="264">
        <f t="shared" si="112"/>
        <v>0.11590909090909092</v>
      </c>
      <c r="I65" s="264">
        <f t="shared" si="112"/>
        <v>0.11590909090909092</v>
      </c>
      <c r="J65" s="264">
        <f t="shared" ref="J65:K65" si="113">J64+J$54</f>
        <v>0.11590909090909092</v>
      </c>
      <c r="K65" s="264">
        <f t="shared" si="113"/>
        <v>0.11590909090909092</v>
      </c>
    </row>
    <row r="66" spans="1:11" ht="14.5" hidden="1" outlineLevel="1">
      <c r="A66">
        <v>10</v>
      </c>
      <c r="B66" s="264">
        <f t="shared" si="101"/>
        <v>0.12954545454545455</v>
      </c>
      <c r="C66" s="264">
        <f t="shared" ref="C66:I66" si="114">C65+C$54</f>
        <v>0.12954545454545455</v>
      </c>
      <c r="D66" s="264">
        <f t="shared" si="114"/>
        <v>0.12954545454545455</v>
      </c>
      <c r="E66" s="264">
        <f t="shared" si="114"/>
        <v>0.12954545454545455</v>
      </c>
      <c r="F66" s="264">
        <f t="shared" si="114"/>
        <v>0.12954545454545455</v>
      </c>
      <c r="G66" s="264">
        <f t="shared" si="114"/>
        <v>0.12954545454545455</v>
      </c>
      <c r="H66" s="264">
        <f t="shared" si="114"/>
        <v>0.12954545454545455</v>
      </c>
      <c r="I66" s="264">
        <f t="shared" si="114"/>
        <v>0.12954545454545455</v>
      </c>
      <c r="J66" s="264">
        <f t="shared" ref="J66:K66" si="115">J65+J$54</f>
        <v>0.12954545454545455</v>
      </c>
      <c r="K66" s="264">
        <f t="shared" si="115"/>
        <v>0.12954545454545455</v>
      </c>
    </row>
    <row r="67" spans="1:11" ht="14.5" hidden="1" outlineLevel="1">
      <c r="A67">
        <v>11</v>
      </c>
      <c r="B67" s="264">
        <f t="shared" si="101"/>
        <v>0.14318181818181819</v>
      </c>
      <c r="C67" s="264">
        <f t="shared" ref="C67:I67" si="116">C66+C$54</f>
        <v>0.14318181818181819</v>
      </c>
      <c r="D67" s="264">
        <f t="shared" si="116"/>
        <v>0.14318181818181819</v>
      </c>
      <c r="E67" s="264">
        <f t="shared" si="116"/>
        <v>0.14318181818181819</v>
      </c>
      <c r="F67" s="264">
        <f t="shared" si="116"/>
        <v>0.14318181818181819</v>
      </c>
      <c r="G67" s="264">
        <f t="shared" si="116"/>
        <v>0.14318181818181819</v>
      </c>
      <c r="H67" s="264">
        <f t="shared" si="116"/>
        <v>0.14318181818181819</v>
      </c>
      <c r="I67" s="264">
        <f t="shared" si="116"/>
        <v>0.14318181818181819</v>
      </c>
      <c r="J67" s="264">
        <f t="shared" ref="J67:K67" si="117">J66+J$54</f>
        <v>0.14318181818181819</v>
      </c>
      <c r="K67" s="264">
        <f t="shared" si="117"/>
        <v>0.14318181818181819</v>
      </c>
    </row>
    <row r="68" spans="1:11" ht="14.5" collapsed="1">
      <c r="A68" t="s">
        <v>381</v>
      </c>
      <c r="B68" s="264"/>
      <c r="C68" s="264"/>
      <c r="D68" s="264"/>
      <c r="E68" s="264"/>
      <c r="F68" s="264"/>
      <c r="G68" s="264"/>
      <c r="H68" s="264"/>
      <c r="I68" s="264"/>
      <c r="J68" s="264"/>
      <c r="K68" s="264"/>
    </row>
    <row r="69" spans="1:11" ht="14.5" hidden="1" outlineLevel="1">
      <c r="A69">
        <v>1</v>
      </c>
      <c r="B69" s="264">
        <f t="shared" ref="B69" si="118">(B57*B$55)+B$38</f>
        <v>0.14772727272727273</v>
      </c>
      <c r="C69" s="264">
        <f t="shared" ref="C69:I69" si="119">(C57*C$55)+C$38</f>
        <v>0.14772727272727273</v>
      </c>
      <c r="D69" s="264">
        <f t="shared" si="119"/>
        <v>0.14772727272727273</v>
      </c>
      <c r="E69" s="264">
        <f t="shared" si="119"/>
        <v>0.14772727272727273</v>
      </c>
      <c r="F69" s="264">
        <f t="shared" si="119"/>
        <v>0.14772727272727273</v>
      </c>
      <c r="G69" s="264">
        <f t="shared" si="119"/>
        <v>0.14772727272727273</v>
      </c>
      <c r="H69" s="264">
        <f t="shared" si="119"/>
        <v>0.14772727272727273</v>
      </c>
      <c r="I69" s="264">
        <f t="shared" si="119"/>
        <v>0.14772727272727273</v>
      </c>
      <c r="J69" s="264">
        <f t="shared" ref="J69:K69" si="120">(J57*J$55)+J$38</f>
        <v>0.14772727272727273</v>
      </c>
      <c r="K69" s="264">
        <f t="shared" si="120"/>
        <v>0.14772727272727273</v>
      </c>
    </row>
    <row r="70" spans="1:11" ht="14.5" hidden="1" outlineLevel="1">
      <c r="A70">
        <v>2</v>
      </c>
      <c r="B70" s="264">
        <f t="shared" ref="B70" si="121">(B58*B$55)+B$38</f>
        <v>0.14318181818181819</v>
      </c>
      <c r="C70" s="264">
        <f t="shared" ref="C70:I70" si="122">(C58*C$55)+C$38</f>
        <v>0.14318181818181819</v>
      </c>
      <c r="D70" s="264">
        <f t="shared" si="122"/>
        <v>0.14318181818181819</v>
      </c>
      <c r="E70" s="264">
        <f t="shared" si="122"/>
        <v>0.14318181818181819</v>
      </c>
      <c r="F70" s="264">
        <f t="shared" si="122"/>
        <v>0.14318181818181819</v>
      </c>
      <c r="G70" s="264">
        <f t="shared" si="122"/>
        <v>0.14318181818181819</v>
      </c>
      <c r="H70" s="264">
        <f t="shared" si="122"/>
        <v>0.14318181818181819</v>
      </c>
      <c r="I70" s="264">
        <f t="shared" si="122"/>
        <v>0.14318181818181819</v>
      </c>
      <c r="J70" s="264">
        <f t="shared" ref="J70:K70" si="123">(J58*J$55)+J$38</f>
        <v>0.14318181818181819</v>
      </c>
      <c r="K70" s="264">
        <f t="shared" si="123"/>
        <v>0.14318181818181819</v>
      </c>
    </row>
    <row r="71" spans="1:11" ht="14.5" hidden="1" outlineLevel="1">
      <c r="A71">
        <v>3</v>
      </c>
      <c r="B71" s="264">
        <f t="shared" ref="B71" si="124">(B59*B$55)+B$38</f>
        <v>0.13863636363636364</v>
      </c>
      <c r="C71" s="264">
        <f t="shared" ref="C71:I71" si="125">(C59*C$55)+C$38</f>
        <v>0.13863636363636364</v>
      </c>
      <c r="D71" s="264">
        <f t="shared" si="125"/>
        <v>0.13863636363636364</v>
      </c>
      <c r="E71" s="264">
        <f t="shared" si="125"/>
        <v>0.13863636363636364</v>
      </c>
      <c r="F71" s="264">
        <f t="shared" si="125"/>
        <v>0.13863636363636364</v>
      </c>
      <c r="G71" s="264">
        <f t="shared" si="125"/>
        <v>0.13863636363636364</v>
      </c>
      <c r="H71" s="264">
        <f t="shared" si="125"/>
        <v>0.13863636363636364</v>
      </c>
      <c r="I71" s="264">
        <f t="shared" si="125"/>
        <v>0.13863636363636364</v>
      </c>
      <c r="J71" s="264">
        <f t="shared" ref="J71:K71" si="126">(J59*J$55)+J$38</f>
        <v>0.13863636363636364</v>
      </c>
      <c r="K71" s="264">
        <f t="shared" si="126"/>
        <v>0.13863636363636364</v>
      </c>
    </row>
    <row r="72" spans="1:11" ht="14.5" hidden="1" outlineLevel="1">
      <c r="A72">
        <v>4</v>
      </c>
      <c r="B72" s="264">
        <f t="shared" ref="B72" si="127">(B60*B$55)+B$38</f>
        <v>0.13409090909090909</v>
      </c>
      <c r="C72" s="264">
        <f t="shared" ref="C72:I72" si="128">(C60*C$55)+C$38</f>
        <v>0.13409090909090909</v>
      </c>
      <c r="D72" s="264">
        <f t="shared" si="128"/>
        <v>0.13409090909090909</v>
      </c>
      <c r="E72" s="264">
        <f t="shared" si="128"/>
        <v>0.13409090909090909</v>
      </c>
      <c r="F72" s="264">
        <f t="shared" si="128"/>
        <v>0.13409090909090909</v>
      </c>
      <c r="G72" s="264">
        <f t="shared" si="128"/>
        <v>0.13409090909090909</v>
      </c>
      <c r="H72" s="264">
        <f t="shared" si="128"/>
        <v>0.13409090909090909</v>
      </c>
      <c r="I72" s="264">
        <f t="shared" si="128"/>
        <v>0.13409090909090909</v>
      </c>
      <c r="J72" s="264">
        <f t="shared" ref="J72:K72" si="129">(J60*J$55)+J$38</f>
        <v>0.13409090909090909</v>
      </c>
      <c r="K72" s="264">
        <f t="shared" si="129"/>
        <v>0.13409090909090909</v>
      </c>
    </row>
    <row r="73" spans="1:11" ht="14.5" hidden="1" outlineLevel="1">
      <c r="A73">
        <v>5</v>
      </c>
      <c r="B73" s="264">
        <f t="shared" ref="B73" si="130">(B61*B$55)+B$38</f>
        <v>0.12954545454545455</v>
      </c>
      <c r="C73" s="264">
        <f t="shared" ref="C73:I73" si="131">(C61*C$55)+C$38</f>
        <v>0.12954545454545455</v>
      </c>
      <c r="D73" s="264">
        <f t="shared" si="131"/>
        <v>0.12954545454545455</v>
      </c>
      <c r="E73" s="264">
        <f t="shared" si="131"/>
        <v>0.12954545454545455</v>
      </c>
      <c r="F73" s="264">
        <f t="shared" si="131"/>
        <v>0.12954545454545455</v>
      </c>
      <c r="G73" s="264">
        <f t="shared" si="131"/>
        <v>0.12954545454545455</v>
      </c>
      <c r="H73" s="264">
        <f t="shared" si="131"/>
        <v>0.12954545454545455</v>
      </c>
      <c r="I73" s="264">
        <f t="shared" si="131"/>
        <v>0.12954545454545455</v>
      </c>
      <c r="J73" s="264">
        <f t="shared" ref="J73:K73" si="132">(J61*J$55)+J$38</f>
        <v>0.12954545454545455</v>
      </c>
      <c r="K73" s="264">
        <f t="shared" si="132"/>
        <v>0.12954545454545455</v>
      </c>
    </row>
    <row r="74" spans="1:11" ht="14.5" hidden="1" outlineLevel="1">
      <c r="A74">
        <v>6</v>
      </c>
      <c r="B74" s="264">
        <f t="shared" ref="B74" si="133">(B62*B$55)+B$38</f>
        <v>0.125</v>
      </c>
      <c r="C74" s="264">
        <f t="shared" ref="C74:I74" si="134">(C62*C$55)+C$38</f>
        <v>0.125</v>
      </c>
      <c r="D74" s="264">
        <f t="shared" si="134"/>
        <v>0.125</v>
      </c>
      <c r="E74" s="264">
        <f t="shared" si="134"/>
        <v>0.125</v>
      </c>
      <c r="F74" s="264">
        <f t="shared" si="134"/>
        <v>0.125</v>
      </c>
      <c r="G74" s="264">
        <f t="shared" si="134"/>
        <v>0.125</v>
      </c>
      <c r="H74" s="264">
        <f t="shared" si="134"/>
        <v>0.125</v>
      </c>
      <c r="I74" s="264">
        <f t="shared" si="134"/>
        <v>0.125</v>
      </c>
      <c r="J74" s="264">
        <f t="shared" ref="J74:K74" si="135">(J62*J$55)+J$38</f>
        <v>0.125</v>
      </c>
      <c r="K74" s="264">
        <f t="shared" si="135"/>
        <v>0.125</v>
      </c>
    </row>
    <row r="75" spans="1:11" ht="14.5" hidden="1" outlineLevel="1">
      <c r="A75">
        <v>7</v>
      </c>
      <c r="B75" s="264">
        <f t="shared" ref="B75" si="136">(B63*B$55)+B$38</f>
        <v>0.12045454545454545</v>
      </c>
      <c r="C75" s="264">
        <f t="shared" ref="C75:I75" si="137">(C63*C$55)+C$38</f>
        <v>0.12045454545454545</v>
      </c>
      <c r="D75" s="264">
        <f t="shared" si="137"/>
        <v>0.12045454545454545</v>
      </c>
      <c r="E75" s="264">
        <f t="shared" si="137"/>
        <v>0.12045454545454545</v>
      </c>
      <c r="F75" s="264">
        <f t="shared" si="137"/>
        <v>0.12045454545454545</v>
      </c>
      <c r="G75" s="264">
        <f t="shared" si="137"/>
        <v>0.12045454545454545</v>
      </c>
      <c r="H75" s="264">
        <f t="shared" si="137"/>
        <v>0.12045454545454545</v>
      </c>
      <c r="I75" s="264">
        <f t="shared" si="137"/>
        <v>0.12045454545454545</v>
      </c>
      <c r="J75" s="264">
        <f t="shared" ref="J75:K75" si="138">(J63*J$55)+J$38</f>
        <v>0.12045454545454545</v>
      </c>
      <c r="K75" s="264">
        <f t="shared" si="138"/>
        <v>0.12045454545454545</v>
      </c>
    </row>
    <row r="76" spans="1:11" ht="14.5" hidden="1" outlineLevel="1">
      <c r="A76">
        <v>8</v>
      </c>
      <c r="B76" s="264">
        <f t="shared" ref="B76" si="139">(B64*B$55)+B$38</f>
        <v>0.11590909090909091</v>
      </c>
      <c r="C76" s="264">
        <f t="shared" ref="C76:I76" si="140">(C64*C$55)+C$38</f>
        <v>0.11590909090909091</v>
      </c>
      <c r="D76" s="264">
        <f t="shared" si="140"/>
        <v>0.11590909090909091</v>
      </c>
      <c r="E76" s="264">
        <f t="shared" si="140"/>
        <v>0.11590909090909091</v>
      </c>
      <c r="F76" s="264">
        <f t="shared" si="140"/>
        <v>0.11590909090909091</v>
      </c>
      <c r="G76" s="264">
        <f t="shared" si="140"/>
        <v>0.11590909090909091</v>
      </c>
      <c r="H76" s="264">
        <f t="shared" si="140"/>
        <v>0.11590909090909091</v>
      </c>
      <c r="I76" s="264">
        <f t="shared" si="140"/>
        <v>0.11590909090909091</v>
      </c>
      <c r="J76" s="264">
        <f t="shared" ref="J76:K76" si="141">(J64*J$55)+J$38</f>
        <v>0.11590909090909091</v>
      </c>
      <c r="K76" s="264">
        <f t="shared" si="141"/>
        <v>0.11590909090909091</v>
      </c>
    </row>
    <row r="77" spans="1:11" ht="14.5" hidden="1" outlineLevel="1">
      <c r="A77">
        <v>9</v>
      </c>
      <c r="B77" s="264">
        <f t="shared" ref="B77" si="142">(B65*B$55)+B$38</f>
        <v>0.11136363636363636</v>
      </c>
      <c r="C77" s="264">
        <f t="shared" ref="C77:I77" si="143">(C65*C$55)+C$38</f>
        <v>0.11136363636363636</v>
      </c>
      <c r="D77" s="264">
        <f t="shared" si="143"/>
        <v>0.11136363636363636</v>
      </c>
      <c r="E77" s="264">
        <f t="shared" si="143"/>
        <v>0.11136363636363636</v>
      </c>
      <c r="F77" s="264">
        <f t="shared" si="143"/>
        <v>0.11136363636363636</v>
      </c>
      <c r="G77" s="264">
        <f t="shared" si="143"/>
        <v>0.11136363636363636</v>
      </c>
      <c r="H77" s="264">
        <f t="shared" si="143"/>
        <v>0.11136363636363636</v>
      </c>
      <c r="I77" s="264">
        <f t="shared" si="143"/>
        <v>0.11136363636363636</v>
      </c>
      <c r="J77" s="264">
        <f t="shared" ref="J77:K77" si="144">(J65*J$55)+J$38</f>
        <v>0.11136363636363636</v>
      </c>
      <c r="K77" s="264">
        <f t="shared" si="144"/>
        <v>0.11136363636363636</v>
      </c>
    </row>
    <row r="78" spans="1:11" ht="14.5" hidden="1" outlineLevel="1">
      <c r="A78">
        <v>10</v>
      </c>
      <c r="B78" s="264">
        <f t="shared" ref="B78" si="145">(B66*B$55)+B$38</f>
        <v>0.10681818181818181</v>
      </c>
      <c r="C78" s="264">
        <f t="shared" ref="C78:I78" si="146">(C66*C$55)+C$38</f>
        <v>0.10681818181818181</v>
      </c>
      <c r="D78" s="264">
        <f t="shared" si="146"/>
        <v>0.10681818181818181</v>
      </c>
      <c r="E78" s="264">
        <f t="shared" si="146"/>
        <v>0.10681818181818181</v>
      </c>
      <c r="F78" s="264">
        <f t="shared" si="146"/>
        <v>0.10681818181818181</v>
      </c>
      <c r="G78" s="264">
        <f t="shared" si="146"/>
        <v>0.10681818181818181</v>
      </c>
      <c r="H78" s="264">
        <f t="shared" si="146"/>
        <v>0.10681818181818181</v>
      </c>
      <c r="I78" s="264">
        <f t="shared" si="146"/>
        <v>0.10681818181818181</v>
      </c>
      <c r="J78" s="264">
        <f t="shared" ref="J78:K78" si="147">(J66*J$55)+J$38</f>
        <v>0.10681818181818181</v>
      </c>
      <c r="K78" s="264">
        <f t="shared" si="147"/>
        <v>0.10681818181818181</v>
      </c>
    </row>
    <row r="79" spans="1:11" ht="14.5" hidden="1" outlineLevel="1">
      <c r="A79">
        <v>11</v>
      </c>
      <c r="B79" s="264">
        <f t="shared" ref="B79" si="148">(B67*B$55)+B$38</f>
        <v>0.10227272727272727</v>
      </c>
      <c r="C79" s="264">
        <f t="shared" ref="C79:I79" si="149">(C67*C$55)+C$38</f>
        <v>0.10227272727272727</v>
      </c>
      <c r="D79" s="264">
        <f t="shared" si="149"/>
        <v>0.10227272727272727</v>
      </c>
      <c r="E79" s="264">
        <f t="shared" si="149"/>
        <v>0.10227272727272727</v>
      </c>
      <c r="F79" s="264">
        <f t="shared" si="149"/>
        <v>0.10227272727272727</v>
      </c>
      <c r="G79" s="264">
        <f t="shared" si="149"/>
        <v>0.10227272727272727</v>
      </c>
      <c r="H79" s="264">
        <f t="shared" si="149"/>
        <v>0.10227272727272727</v>
      </c>
      <c r="I79" s="264">
        <f t="shared" si="149"/>
        <v>0.10227272727272727</v>
      </c>
      <c r="J79" s="264">
        <f t="shared" ref="J79:K79" si="150">(J67*J$55)+J$38</f>
        <v>0.10227272727272727</v>
      </c>
      <c r="K79" s="264">
        <f t="shared" si="150"/>
        <v>0.10227272727272727</v>
      </c>
    </row>
    <row r="80" spans="1:11" ht="14.5" collapsed="1">
      <c r="A80" t="s">
        <v>382</v>
      </c>
      <c r="B80" s="264"/>
      <c r="C80" s="264"/>
      <c r="D80" s="264"/>
      <c r="E80" s="264"/>
      <c r="F80" s="264"/>
      <c r="G80" s="264"/>
      <c r="H80" s="264"/>
      <c r="I80" s="264"/>
      <c r="J80" s="264"/>
      <c r="K80" s="264"/>
    </row>
    <row r="81" spans="1:11" ht="14.5" hidden="1" outlineLevel="1">
      <c r="A81">
        <v>1</v>
      </c>
      <c r="B81" s="265">
        <f t="shared" ref="B81" si="151">(B69+B70)*B$54/2</f>
        <v>1.9834710743801649E-3</v>
      </c>
      <c r="C81" s="265">
        <f t="shared" ref="C81:I81" si="152">(C69+C70)*C$54/2</f>
        <v>1.9834710743801649E-3</v>
      </c>
      <c r="D81" s="265">
        <f t="shared" si="152"/>
        <v>1.9834710743801649E-3</v>
      </c>
      <c r="E81" s="265">
        <f t="shared" si="152"/>
        <v>1.9834710743801649E-3</v>
      </c>
      <c r="F81" s="265">
        <f t="shared" si="152"/>
        <v>1.9834710743801649E-3</v>
      </c>
      <c r="G81" s="265">
        <f t="shared" si="152"/>
        <v>1.9834710743801649E-3</v>
      </c>
      <c r="H81" s="265">
        <f t="shared" si="152"/>
        <v>1.9834710743801649E-3</v>
      </c>
      <c r="I81" s="265">
        <f t="shared" si="152"/>
        <v>1.9834710743801649E-3</v>
      </c>
      <c r="J81" s="265">
        <f t="shared" ref="J81:K81" si="153">(J69+J70)*J$54/2</f>
        <v>1.9834710743801649E-3</v>
      </c>
      <c r="K81" s="265">
        <f t="shared" si="153"/>
        <v>1.9834710743801649E-3</v>
      </c>
    </row>
    <row r="82" spans="1:11" ht="14.5" hidden="1" outlineLevel="1">
      <c r="A82">
        <v>2</v>
      </c>
      <c r="B82" s="265">
        <f t="shared" ref="B82:B89" si="154">(B70+B71)*B$54/2</f>
        <v>1.9214876033057853E-3</v>
      </c>
      <c r="C82" s="265">
        <f t="shared" ref="C82:I82" si="155">(C70+C71)*C$54/2</f>
        <v>1.9214876033057853E-3</v>
      </c>
      <c r="D82" s="265">
        <f t="shared" si="155"/>
        <v>1.9214876033057853E-3</v>
      </c>
      <c r="E82" s="265">
        <f t="shared" si="155"/>
        <v>1.9214876033057853E-3</v>
      </c>
      <c r="F82" s="265">
        <f t="shared" si="155"/>
        <v>1.9214876033057853E-3</v>
      </c>
      <c r="G82" s="265">
        <f t="shared" si="155"/>
        <v>1.9214876033057853E-3</v>
      </c>
      <c r="H82" s="265">
        <f t="shared" si="155"/>
        <v>1.9214876033057853E-3</v>
      </c>
      <c r="I82" s="265">
        <f t="shared" si="155"/>
        <v>1.9214876033057853E-3</v>
      </c>
      <c r="J82" s="265">
        <f t="shared" ref="J82:K82" si="156">(J70+J71)*J$54/2</f>
        <v>1.9214876033057853E-3</v>
      </c>
      <c r="K82" s="265">
        <f t="shared" si="156"/>
        <v>1.9214876033057853E-3</v>
      </c>
    </row>
    <row r="83" spans="1:11" ht="14.5" hidden="1" outlineLevel="1">
      <c r="A83">
        <v>3</v>
      </c>
      <c r="B83" s="265">
        <f t="shared" si="154"/>
        <v>1.8595041322314048E-3</v>
      </c>
      <c r="C83" s="265">
        <f t="shared" ref="C83:I83" si="157">(C71+C72)*C$54/2</f>
        <v>1.8595041322314048E-3</v>
      </c>
      <c r="D83" s="265">
        <f t="shared" si="157"/>
        <v>1.8595041322314048E-3</v>
      </c>
      <c r="E83" s="265">
        <f t="shared" si="157"/>
        <v>1.8595041322314048E-3</v>
      </c>
      <c r="F83" s="265">
        <f t="shared" si="157"/>
        <v>1.8595041322314048E-3</v>
      </c>
      <c r="G83" s="265">
        <f t="shared" si="157"/>
        <v>1.8595041322314048E-3</v>
      </c>
      <c r="H83" s="265">
        <f t="shared" si="157"/>
        <v>1.8595041322314048E-3</v>
      </c>
      <c r="I83" s="265">
        <f t="shared" si="157"/>
        <v>1.8595041322314048E-3</v>
      </c>
      <c r="J83" s="265">
        <f t="shared" ref="J83:K83" si="158">(J71+J72)*J$54/2</f>
        <v>1.8595041322314048E-3</v>
      </c>
      <c r="K83" s="265">
        <f t="shared" si="158"/>
        <v>1.8595041322314048E-3</v>
      </c>
    </row>
    <row r="84" spans="1:11" ht="14.5" hidden="1" outlineLevel="1">
      <c r="A84">
        <v>4</v>
      </c>
      <c r="B84" s="265">
        <f t="shared" si="154"/>
        <v>1.7975206611570249E-3</v>
      </c>
      <c r="C84" s="265">
        <f t="shared" ref="C84:I84" si="159">(C72+C73)*C$54/2</f>
        <v>1.7975206611570249E-3</v>
      </c>
      <c r="D84" s="265">
        <f t="shared" si="159"/>
        <v>1.7975206611570249E-3</v>
      </c>
      <c r="E84" s="265">
        <f t="shared" si="159"/>
        <v>1.7975206611570249E-3</v>
      </c>
      <c r="F84" s="265">
        <f t="shared" si="159"/>
        <v>1.7975206611570249E-3</v>
      </c>
      <c r="G84" s="265">
        <f t="shared" si="159"/>
        <v>1.7975206611570249E-3</v>
      </c>
      <c r="H84" s="265">
        <f t="shared" si="159"/>
        <v>1.7975206611570249E-3</v>
      </c>
      <c r="I84" s="265">
        <f t="shared" si="159"/>
        <v>1.7975206611570249E-3</v>
      </c>
      <c r="J84" s="265">
        <f t="shared" ref="J84:K84" si="160">(J72+J73)*J$54/2</f>
        <v>1.7975206611570249E-3</v>
      </c>
      <c r="K84" s="265">
        <f t="shared" si="160"/>
        <v>1.7975206611570249E-3</v>
      </c>
    </row>
    <row r="85" spans="1:11" ht="14.5" hidden="1" outlineLevel="1">
      <c r="A85">
        <v>5</v>
      </c>
      <c r="B85" s="265">
        <f t="shared" si="154"/>
        <v>1.7355371900826444E-3</v>
      </c>
      <c r="C85" s="265">
        <f t="shared" ref="C85:I85" si="161">(C73+C74)*C$54/2</f>
        <v>1.7355371900826444E-3</v>
      </c>
      <c r="D85" s="265">
        <f t="shared" si="161"/>
        <v>1.7355371900826444E-3</v>
      </c>
      <c r="E85" s="265">
        <f t="shared" si="161"/>
        <v>1.7355371900826444E-3</v>
      </c>
      <c r="F85" s="265">
        <f t="shared" si="161"/>
        <v>1.7355371900826444E-3</v>
      </c>
      <c r="G85" s="265">
        <f t="shared" si="161"/>
        <v>1.7355371900826444E-3</v>
      </c>
      <c r="H85" s="265">
        <f t="shared" si="161"/>
        <v>1.7355371900826444E-3</v>
      </c>
      <c r="I85" s="265">
        <f t="shared" si="161"/>
        <v>1.7355371900826444E-3</v>
      </c>
      <c r="J85" s="265">
        <f t="shared" ref="J85:K85" si="162">(J73+J74)*J$54/2</f>
        <v>1.7355371900826444E-3</v>
      </c>
      <c r="K85" s="265">
        <f t="shared" si="162"/>
        <v>1.7355371900826444E-3</v>
      </c>
    </row>
    <row r="86" spans="1:11" ht="14.5" hidden="1" outlineLevel="1">
      <c r="A86">
        <v>6</v>
      </c>
      <c r="B86" s="265">
        <f t="shared" si="154"/>
        <v>1.6735537190082643E-3</v>
      </c>
      <c r="C86" s="265">
        <f t="shared" ref="C86:I86" si="163">(C74+C75)*C$54/2</f>
        <v>1.6735537190082643E-3</v>
      </c>
      <c r="D86" s="265">
        <f t="shared" si="163"/>
        <v>1.6735537190082643E-3</v>
      </c>
      <c r="E86" s="265">
        <f t="shared" si="163"/>
        <v>1.6735537190082643E-3</v>
      </c>
      <c r="F86" s="265">
        <f t="shared" si="163"/>
        <v>1.6735537190082643E-3</v>
      </c>
      <c r="G86" s="265">
        <f t="shared" si="163"/>
        <v>1.6735537190082643E-3</v>
      </c>
      <c r="H86" s="265">
        <f t="shared" si="163"/>
        <v>1.6735537190082643E-3</v>
      </c>
      <c r="I86" s="265">
        <f t="shared" si="163"/>
        <v>1.6735537190082643E-3</v>
      </c>
      <c r="J86" s="265">
        <f t="shared" ref="J86:K86" si="164">(J74+J75)*J$54/2</f>
        <v>1.6735537190082643E-3</v>
      </c>
      <c r="K86" s="265">
        <f t="shared" si="164"/>
        <v>1.6735537190082643E-3</v>
      </c>
    </row>
    <row r="87" spans="1:11" ht="14.5" hidden="1" outlineLevel="1">
      <c r="A87">
        <v>7</v>
      </c>
      <c r="B87" s="265">
        <f t="shared" si="154"/>
        <v>1.6115702479338842E-3</v>
      </c>
      <c r="C87" s="265">
        <f t="shared" ref="C87:I87" si="165">(C75+C76)*C$54/2</f>
        <v>1.6115702479338842E-3</v>
      </c>
      <c r="D87" s="265">
        <f t="shared" si="165"/>
        <v>1.6115702479338842E-3</v>
      </c>
      <c r="E87" s="265">
        <f t="shared" si="165"/>
        <v>1.6115702479338842E-3</v>
      </c>
      <c r="F87" s="265">
        <f t="shared" si="165"/>
        <v>1.6115702479338842E-3</v>
      </c>
      <c r="G87" s="265">
        <f t="shared" si="165"/>
        <v>1.6115702479338842E-3</v>
      </c>
      <c r="H87" s="265">
        <f t="shared" si="165"/>
        <v>1.6115702479338842E-3</v>
      </c>
      <c r="I87" s="265">
        <f t="shared" si="165"/>
        <v>1.6115702479338842E-3</v>
      </c>
      <c r="J87" s="265">
        <f t="shared" ref="J87:K87" si="166">(J75+J76)*J$54/2</f>
        <v>1.6115702479338842E-3</v>
      </c>
      <c r="K87" s="265">
        <f t="shared" si="166"/>
        <v>1.6115702479338842E-3</v>
      </c>
    </row>
    <row r="88" spans="1:11" ht="14.5" hidden="1" outlineLevel="1">
      <c r="A88">
        <v>8</v>
      </c>
      <c r="B88" s="265">
        <f t="shared" si="154"/>
        <v>1.549586776859504E-3</v>
      </c>
      <c r="C88" s="265">
        <f t="shared" ref="C88:I88" si="167">(C76+C77)*C$54/2</f>
        <v>1.549586776859504E-3</v>
      </c>
      <c r="D88" s="265">
        <f t="shared" si="167"/>
        <v>1.549586776859504E-3</v>
      </c>
      <c r="E88" s="265">
        <f t="shared" si="167"/>
        <v>1.549586776859504E-3</v>
      </c>
      <c r="F88" s="265">
        <f t="shared" si="167"/>
        <v>1.549586776859504E-3</v>
      </c>
      <c r="G88" s="265">
        <f t="shared" si="167"/>
        <v>1.549586776859504E-3</v>
      </c>
      <c r="H88" s="265">
        <f t="shared" si="167"/>
        <v>1.549586776859504E-3</v>
      </c>
      <c r="I88" s="265">
        <f t="shared" si="167"/>
        <v>1.549586776859504E-3</v>
      </c>
      <c r="J88" s="265">
        <f t="shared" ref="J88:K88" si="168">(J76+J77)*J$54/2</f>
        <v>1.549586776859504E-3</v>
      </c>
      <c r="K88" s="265">
        <f t="shared" si="168"/>
        <v>1.549586776859504E-3</v>
      </c>
    </row>
    <row r="89" spans="1:11" ht="14.5" hidden="1" outlineLevel="1">
      <c r="A89">
        <v>9</v>
      </c>
      <c r="B89" s="265">
        <f t="shared" si="154"/>
        <v>1.4876033057851239E-3</v>
      </c>
      <c r="C89" s="265">
        <f t="shared" ref="C89:I89" si="169">(C77+C78)*C$54/2</f>
        <v>1.4876033057851239E-3</v>
      </c>
      <c r="D89" s="265">
        <f t="shared" si="169"/>
        <v>1.4876033057851239E-3</v>
      </c>
      <c r="E89" s="265">
        <f t="shared" si="169"/>
        <v>1.4876033057851239E-3</v>
      </c>
      <c r="F89" s="265">
        <f t="shared" si="169"/>
        <v>1.4876033057851239E-3</v>
      </c>
      <c r="G89" s="265">
        <f t="shared" si="169"/>
        <v>1.4876033057851239E-3</v>
      </c>
      <c r="H89" s="265">
        <f t="shared" si="169"/>
        <v>1.4876033057851239E-3</v>
      </c>
      <c r="I89" s="265">
        <f t="shared" si="169"/>
        <v>1.4876033057851239E-3</v>
      </c>
      <c r="J89" s="265">
        <f t="shared" ref="J89:K89" si="170">(J77+J78)*J$54/2</f>
        <v>1.4876033057851239E-3</v>
      </c>
      <c r="K89" s="265">
        <f t="shared" si="170"/>
        <v>1.4876033057851239E-3</v>
      </c>
    </row>
    <row r="90" spans="1:11" ht="14.5" hidden="1" outlineLevel="1">
      <c r="A90">
        <v>10</v>
      </c>
      <c r="B90" s="265">
        <f>(B78+B79)*B$54/2</f>
        <v>1.4256198347107436E-3</v>
      </c>
      <c r="C90" s="265">
        <f t="shared" ref="C90:I90" si="171">(C78+C79)*C$54/2</f>
        <v>1.4256198347107436E-3</v>
      </c>
      <c r="D90" s="265">
        <f t="shared" si="171"/>
        <v>1.4256198347107436E-3</v>
      </c>
      <c r="E90" s="265">
        <f t="shared" si="171"/>
        <v>1.4256198347107436E-3</v>
      </c>
      <c r="F90" s="265">
        <f t="shared" si="171"/>
        <v>1.4256198347107436E-3</v>
      </c>
      <c r="G90" s="265">
        <f t="shared" si="171"/>
        <v>1.4256198347107436E-3</v>
      </c>
      <c r="H90" s="265">
        <f t="shared" si="171"/>
        <v>1.4256198347107436E-3</v>
      </c>
      <c r="I90" s="265">
        <f t="shared" si="171"/>
        <v>1.4256198347107436E-3</v>
      </c>
      <c r="J90" s="265">
        <f t="shared" ref="J90:K90" si="172">(J78+J79)*J$54/2</f>
        <v>1.4256198347107436E-3</v>
      </c>
      <c r="K90" s="265">
        <f t="shared" si="172"/>
        <v>1.4256198347107436E-3</v>
      </c>
    </row>
    <row r="91" spans="1:11" ht="14.5" collapsed="1">
      <c r="A91" t="s">
        <v>504</v>
      </c>
      <c r="B91" s="264">
        <f>SUM(B81:B90)</f>
        <v>1.7045454545454544E-2</v>
      </c>
      <c r="C91" s="264">
        <f t="shared" ref="C91:I91" si="173">SUM(C81:C90)</f>
        <v>1.7045454545454544E-2</v>
      </c>
      <c r="D91" s="264">
        <f t="shared" si="173"/>
        <v>1.7045454545454544E-2</v>
      </c>
      <c r="E91" s="264">
        <f t="shared" si="173"/>
        <v>1.7045454545454544E-2</v>
      </c>
      <c r="F91" s="264">
        <f t="shared" si="173"/>
        <v>1.7045454545454544E-2</v>
      </c>
      <c r="G91" s="264">
        <f t="shared" si="173"/>
        <v>1.7045454545454544E-2</v>
      </c>
      <c r="H91" s="264">
        <f t="shared" si="173"/>
        <v>1.7045454545454544E-2</v>
      </c>
      <c r="I91" s="264">
        <f t="shared" si="173"/>
        <v>1.7045454545454544E-2</v>
      </c>
      <c r="J91" s="264">
        <f t="shared" ref="J91" si="174">SUM(J81:J90)</f>
        <v>1.7045454545454544E-2</v>
      </c>
      <c r="K91" s="264">
        <f t="shared" ref="K91" si="175">SUM(K81:K90)</f>
        <v>1.7045454545454544E-2</v>
      </c>
    </row>
    <row r="92" spans="1:11" ht="14.5">
      <c r="A92" s="268" t="s">
        <v>383</v>
      </c>
    </row>
    <row r="93" spans="1:11" s="168" customFormat="1" ht="14.5">
      <c r="A93" s="168" t="s">
        <v>384</v>
      </c>
      <c r="B93" s="291">
        <f>IF(B7&lt;1,(B95/(B96+B97))/SQRT(1-B7^2),(B95/(B96+B97))/SQRT(1-0.99^2))</f>
        <v>1.7811871342984904</v>
      </c>
      <c r="C93" s="291">
        <f t="shared" ref="C93:I93" si="176">IF(C7&lt;1,(C95/(C96+C97))/SQRT(1-C7^2),(C95/(C96+C97))/SQRT(1-0.99^2))</f>
        <v>1.7869352319645568</v>
      </c>
      <c r="D93" s="291">
        <f t="shared" si="176"/>
        <v>1.8638274893064417</v>
      </c>
      <c r="E93" s="291">
        <f t="shared" si="176"/>
        <v>2.0530322770652725</v>
      </c>
      <c r="F93" s="291">
        <f t="shared" si="176"/>
        <v>2.4896673326889589</v>
      </c>
      <c r="G93" s="291">
        <f t="shared" si="176"/>
        <v>12.603752627757395</v>
      </c>
      <c r="H93" s="291">
        <f t="shared" si="176"/>
        <v>12.603752627757395</v>
      </c>
      <c r="I93" s="291">
        <f t="shared" si="176"/>
        <v>12.603752627757395</v>
      </c>
      <c r="J93" s="291">
        <f t="shared" ref="J93:K93" si="177">IF(J7&lt;1,(J95/(J96+J97))/SQRT(1-J7^2),(J95/(J96+J97))/SQRT(1-0.99^2))</f>
        <v>12.603752627757395</v>
      </c>
      <c r="K93" s="291">
        <f t="shared" si="177"/>
        <v>12.603752627757395</v>
      </c>
    </row>
    <row r="94" spans="1:11" s="168" customFormat="1" ht="14.5">
      <c r="A94" s="168" t="s">
        <v>523</v>
      </c>
      <c r="B94" s="291">
        <f>IF(B6&lt;1,B93,IF(B6&gt;1,(4)/SQRT(B6^2-1),(4)/SQRT((1.01)^2-1)))</f>
        <v>1.7811871342984904</v>
      </c>
      <c r="C94" s="291">
        <f t="shared" ref="C94:I94" si="178">IF(C6&lt;1,C93,IF(C6&gt;1,(4)/SQRT(C6^2-1),(4)/SQRT((1.01)^2-1)))</f>
        <v>1.7869352319645568</v>
      </c>
      <c r="D94" s="291">
        <f t="shared" si="178"/>
        <v>1.8638274893064417</v>
      </c>
      <c r="E94" s="291">
        <f t="shared" si="178"/>
        <v>2.0530322770652725</v>
      </c>
      <c r="F94" s="291">
        <f t="shared" si="178"/>
        <v>2.4896673326889589</v>
      </c>
      <c r="G94" s="291">
        <f t="shared" si="178"/>
        <v>28.213824634343929</v>
      </c>
      <c r="H94" s="291">
        <f t="shared" si="178"/>
        <v>3.5777087639996634</v>
      </c>
      <c r="I94" s="291">
        <f t="shared" si="178"/>
        <v>2.3094010767585034</v>
      </c>
      <c r="J94" s="291">
        <f t="shared" ref="J94" si="179">IF(J6&lt;1,J93,IF(J6&gt;1,(4)/SQRT(J6^2-1),(4)/SQRT((1.01)^2-1)))</f>
        <v>1.4142135623730949</v>
      </c>
      <c r="K94" s="291">
        <f t="shared" ref="K94" si="180">IF(K6&lt;1,K93,IF(K6&gt;1,(4)/SQRT(K6^2-1),(4)/SQRT((1.01)^2-1)))</f>
        <v>0.81649658092772615</v>
      </c>
    </row>
    <row r="95" spans="1:11" ht="14.5" hidden="1" outlineLevel="1">
      <c r="A95" t="s">
        <v>385</v>
      </c>
      <c r="B95" s="192">
        <f>PI()*COS(RADIANS(B43))</f>
        <v>2.2214414690791831</v>
      </c>
      <c r="C95" s="192">
        <f t="shared" ref="C95:I95" si="181">PI()*COS(RADIANS(C43))</f>
        <v>2.2214414690791831</v>
      </c>
      <c r="D95" s="192">
        <f t="shared" si="181"/>
        <v>2.2214414690791831</v>
      </c>
      <c r="E95" s="192">
        <f t="shared" si="181"/>
        <v>2.2214414690791831</v>
      </c>
      <c r="F95" s="192">
        <f t="shared" si="181"/>
        <v>2.2214414690791831</v>
      </c>
      <c r="G95" s="192">
        <f t="shared" si="181"/>
        <v>2.2214414690791831</v>
      </c>
      <c r="H95" s="192">
        <f t="shared" si="181"/>
        <v>2.2214414690791831</v>
      </c>
      <c r="I95" s="192">
        <f t="shared" si="181"/>
        <v>2.2214414690791831</v>
      </c>
      <c r="J95" s="192">
        <f t="shared" ref="J95:K95" si="182">PI()*COS(RADIANS(J43))</f>
        <v>2.2214414690791831</v>
      </c>
      <c r="K95" s="192">
        <f t="shared" si="182"/>
        <v>2.2214414690791831</v>
      </c>
    </row>
    <row r="96" spans="1:11" ht="14.5" hidden="1" outlineLevel="1">
      <c r="A96" t="s">
        <v>386</v>
      </c>
      <c r="B96" s="192">
        <f>SQRT(1+((B95/(PI()*B51))^2))</f>
        <v>1.0248956925229649</v>
      </c>
      <c r="C96" s="192">
        <f t="shared" ref="C96:I96" si="183">SQRT(1+((C95/(PI()*C51))^2))</f>
        <v>1.0248956925229649</v>
      </c>
      <c r="D96" s="192">
        <f t="shared" si="183"/>
        <v>1.0248956925229649</v>
      </c>
      <c r="E96" s="192">
        <f t="shared" si="183"/>
        <v>1.0248956925229649</v>
      </c>
      <c r="F96" s="192">
        <f t="shared" si="183"/>
        <v>1.0248956925229649</v>
      </c>
      <c r="G96" s="192">
        <f t="shared" si="183"/>
        <v>1.0248956925229649</v>
      </c>
      <c r="H96" s="192">
        <f t="shared" si="183"/>
        <v>1.0248956925229649</v>
      </c>
      <c r="I96" s="192">
        <f t="shared" si="183"/>
        <v>1.0248956925229649</v>
      </c>
      <c r="J96" s="192">
        <f t="shared" ref="J96" si="184">SQRT(1+((J95/(PI()*J51))^2))</f>
        <v>1.0248956925229649</v>
      </c>
      <c r="K96" s="192">
        <f t="shared" ref="K96" si="185">SQRT(1+((K95/(PI()*K51))^2))</f>
        <v>1.0248956925229649</v>
      </c>
    </row>
    <row r="97" spans="1:11" ht="14.5" hidden="1" outlineLevel="1">
      <c r="A97" t="s">
        <v>387</v>
      </c>
      <c r="B97" s="192">
        <f>B95/(PI()*B51)</f>
        <v>0.22452434289432335</v>
      </c>
      <c r="C97" s="192">
        <f t="shared" ref="C97:I97" si="186">C95/(PI()*C51)</f>
        <v>0.22452434289432335</v>
      </c>
      <c r="D97" s="192">
        <f t="shared" si="186"/>
        <v>0.22452434289432335</v>
      </c>
      <c r="E97" s="192">
        <f t="shared" si="186"/>
        <v>0.22452434289432335</v>
      </c>
      <c r="F97" s="192">
        <f t="shared" si="186"/>
        <v>0.22452434289432335</v>
      </c>
      <c r="G97" s="192">
        <f t="shared" si="186"/>
        <v>0.22452434289432335</v>
      </c>
      <c r="H97" s="192">
        <f t="shared" si="186"/>
        <v>0.22452434289432335</v>
      </c>
      <c r="I97" s="192">
        <f t="shared" si="186"/>
        <v>0.22452434289432335</v>
      </c>
      <c r="J97" s="192">
        <f t="shared" ref="J97:K97" si="187">J95/(PI()*J51)</f>
        <v>0.22452434289432335</v>
      </c>
      <c r="K97" s="192">
        <f t="shared" si="187"/>
        <v>0.22452434289432335</v>
      </c>
    </row>
    <row r="98" spans="1:11" ht="14.5" hidden="1" outlineLevel="1"/>
    <row r="99" spans="1:11" ht="14.5" collapsed="1">
      <c r="A99" t="s">
        <v>388</v>
      </c>
      <c r="B99" s="187">
        <f>(B16*B3*B38)/B19</f>
        <v>197252.54389944818</v>
      </c>
      <c r="C99" s="187">
        <f t="shared" ref="C99:I99" si="188">(C16*C3*C38)/C19</f>
        <v>341245.90030331042</v>
      </c>
      <c r="D99" s="187">
        <f t="shared" si="188"/>
        <v>1023737.7009099312</v>
      </c>
      <c r="E99" s="187">
        <f t="shared" si="188"/>
        <v>1706229.5015165519</v>
      </c>
      <c r="F99" s="187">
        <f t="shared" si="188"/>
        <v>2388721.3021231727</v>
      </c>
      <c r="G99" s="187">
        <f t="shared" si="188"/>
        <v>3412459.0030331039</v>
      </c>
      <c r="H99" s="187">
        <f t="shared" si="188"/>
        <v>5118688.5045496561</v>
      </c>
      <c r="I99" s="187">
        <f t="shared" si="188"/>
        <v>6824918.0060662078</v>
      </c>
      <c r="J99" s="187">
        <f t="shared" ref="J99:K99" si="189">(J16*J3*J38)/J19</f>
        <v>10237377.009099312</v>
      </c>
      <c r="K99" s="187">
        <f t="shared" si="189"/>
        <v>17062295.015165523</v>
      </c>
    </row>
    <row r="100" spans="1:11" ht="14.5">
      <c r="A100" t="s">
        <v>389</v>
      </c>
      <c r="B100" s="187">
        <f>(B16*B3*B39)/B19</f>
        <v>13150169.593296546</v>
      </c>
      <c r="C100" s="187">
        <f t="shared" ref="C100:I100" si="190">(C16*C3*C39)/C19</f>
        <v>22749726.686887365</v>
      </c>
      <c r="D100" s="187">
        <f t="shared" si="190"/>
        <v>68249180.060662091</v>
      </c>
      <c r="E100" s="187">
        <f t="shared" si="190"/>
        <v>113748633.4344368</v>
      </c>
      <c r="F100" s="187">
        <f t="shared" si="190"/>
        <v>159248086.80821151</v>
      </c>
      <c r="G100" s="187">
        <f t="shared" si="190"/>
        <v>227497266.8688736</v>
      </c>
      <c r="H100" s="187">
        <f t="shared" si="190"/>
        <v>341245900.30331039</v>
      </c>
      <c r="I100" s="187">
        <f t="shared" si="190"/>
        <v>454994533.73774719</v>
      </c>
      <c r="J100" s="187">
        <f t="shared" ref="J100:K100" si="191">(J16*J3*J39)/J19</f>
        <v>682491800.60662079</v>
      </c>
      <c r="K100" s="187">
        <f t="shared" si="191"/>
        <v>1137486334.3443682</v>
      </c>
    </row>
    <row r="101" spans="1:11" s="277" customFormat="1" ht="14.5">
      <c r="A101" s="278" t="s">
        <v>500</v>
      </c>
      <c r="B101" s="280">
        <v>1.8564485158890635E-2</v>
      </c>
      <c r="C101" s="280">
        <v>1.0835747058992552E-3</v>
      </c>
      <c r="D101" s="280">
        <v>1.0835747058992552E-3</v>
      </c>
      <c r="E101" s="280">
        <v>1.0835747058992552E-3</v>
      </c>
      <c r="F101" s="280">
        <v>1.0835747058992552E-3</v>
      </c>
      <c r="G101" s="280">
        <v>1.0835747058992552E-3</v>
      </c>
      <c r="H101" s="280">
        <v>1.0835747058992552E-3</v>
      </c>
      <c r="I101" s="280">
        <v>1.0835747058992552E-3</v>
      </c>
      <c r="J101" s="280">
        <v>1.0835747058992552E-3</v>
      </c>
      <c r="K101" s="280">
        <v>1.0835747058992552E-3</v>
      </c>
    </row>
    <row r="102" spans="1:11" ht="14.5">
      <c r="A102" s="278" t="s">
        <v>501</v>
      </c>
      <c r="B102" s="187">
        <f>B101/1000</f>
        <v>1.8564485158890635E-5</v>
      </c>
      <c r="C102" s="187">
        <f t="shared" ref="C102:I102" si="192">C101/1000</f>
        <v>1.0835747058992552E-6</v>
      </c>
      <c r="D102" s="187">
        <f t="shared" si="192"/>
        <v>1.0835747058992552E-6</v>
      </c>
      <c r="E102" s="187">
        <f t="shared" si="192"/>
        <v>1.0835747058992552E-6</v>
      </c>
      <c r="F102" s="187">
        <f t="shared" si="192"/>
        <v>1.0835747058992552E-6</v>
      </c>
      <c r="G102" s="187">
        <f t="shared" si="192"/>
        <v>1.0835747058992552E-6</v>
      </c>
      <c r="H102" s="187">
        <f t="shared" si="192"/>
        <v>1.0835747058992552E-6</v>
      </c>
      <c r="I102" s="187">
        <f t="shared" si="192"/>
        <v>1.0835747058992552E-6</v>
      </c>
      <c r="J102" s="187">
        <f t="shared" ref="J102" si="193">J101/1000</f>
        <v>1.0835747058992552E-6</v>
      </c>
      <c r="K102" s="187">
        <f t="shared" ref="K102" si="194">K101/1000</f>
        <v>1.0835747058992552E-6</v>
      </c>
    </row>
    <row r="103" spans="1:11" ht="14.5">
      <c r="A103" t="s">
        <v>502</v>
      </c>
      <c r="B103" s="192">
        <f>(B102*B3)/B19</f>
        <v>19.94371307260672</v>
      </c>
      <c r="C103" s="192">
        <f t="shared" ref="C103:I103" si="195">(C102*C3)/C19</f>
        <v>2.0082038518447769</v>
      </c>
      <c r="D103" s="192">
        <f t="shared" si="195"/>
        <v>6.0246115555343307</v>
      </c>
      <c r="E103" s="192">
        <f t="shared" si="195"/>
        <v>10.041019259223885</v>
      </c>
      <c r="F103" s="192">
        <f t="shared" si="195"/>
        <v>14.057426962913439</v>
      </c>
      <c r="G103" s="192">
        <f t="shared" si="195"/>
        <v>20.082038518447771</v>
      </c>
      <c r="H103" s="192">
        <f t="shared" si="195"/>
        <v>30.123057777671651</v>
      </c>
      <c r="I103" s="192">
        <f t="shared" si="195"/>
        <v>40.164077036895542</v>
      </c>
      <c r="J103" s="192">
        <f t="shared" ref="J103" si="196">(J102*J3)/J19</f>
        <v>60.246115555343302</v>
      </c>
      <c r="K103" s="192">
        <f t="shared" ref="K103" si="197">(K102*K3)/K19</f>
        <v>100.41019259223886</v>
      </c>
    </row>
    <row r="104" spans="1:11" s="188" customFormat="1" ht="14.5">
      <c r="A104" s="275" t="s">
        <v>507</v>
      </c>
      <c r="B104" s="281">
        <f>B116</f>
        <v>0.99999999999999989</v>
      </c>
      <c r="C104" s="281">
        <f t="shared" ref="C104:I104" si="198">C116</f>
        <v>0.10069357920131253</v>
      </c>
      <c r="D104" s="281">
        <f t="shared" si="198"/>
        <v>0.30208073760393755</v>
      </c>
      <c r="E104" s="281">
        <f t="shared" si="198"/>
        <v>0.50346789600656272</v>
      </c>
      <c r="F104" s="281">
        <f t="shared" si="198"/>
        <v>0.70485505440918772</v>
      </c>
      <c r="G104" s="281">
        <f t="shared" si="198"/>
        <v>1.0069357920131254</v>
      </c>
      <c r="H104" s="281">
        <f t="shared" si="198"/>
        <v>1.5104036880196878</v>
      </c>
      <c r="I104" s="281">
        <f t="shared" si="198"/>
        <v>2.0138715840262509</v>
      </c>
      <c r="J104" s="281">
        <f t="shared" ref="J104:K104" si="199">J116</f>
        <v>3.0208073760393757</v>
      </c>
      <c r="K104" s="281">
        <f t="shared" si="199"/>
        <v>5.0346789600656265</v>
      </c>
    </row>
    <row r="105" spans="1:11" ht="14.5">
      <c r="A105" s="274" t="s">
        <v>539</v>
      </c>
      <c r="B105" s="192">
        <f>B38/$A110</f>
        <v>0.03</v>
      </c>
      <c r="C105" s="192">
        <f t="shared" ref="C105:I105" si="200">C38/$A110</f>
        <v>0.03</v>
      </c>
      <c r="D105" s="192">
        <f t="shared" si="200"/>
        <v>0.03</v>
      </c>
      <c r="E105" s="192">
        <f t="shared" si="200"/>
        <v>0.03</v>
      </c>
      <c r="F105" s="192">
        <f t="shared" si="200"/>
        <v>0.03</v>
      </c>
      <c r="G105" s="192">
        <f t="shared" si="200"/>
        <v>0.03</v>
      </c>
      <c r="H105" s="192">
        <f t="shared" si="200"/>
        <v>0.03</v>
      </c>
      <c r="I105" s="192">
        <f t="shared" si="200"/>
        <v>0.03</v>
      </c>
      <c r="J105" s="192">
        <f t="shared" ref="J105:K105" si="201">J38/$A110</f>
        <v>0.03</v>
      </c>
      <c r="K105" s="192">
        <f t="shared" si="201"/>
        <v>0.03</v>
      </c>
    </row>
    <row r="106" spans="1:11" ht="14.5" hidden="1" outlineLevel="1">
      <c r="A106">
        <v>1</v>
      </c>
      <c r="B106" s="187">
        <f>(B$16*B$3*($A106*B$105))/B$19</f>
        <v>39450.508779889642</v>
      </c>
      <c r="C106" s="187">
        <f t="shared" ref="C106:K110" si="202">(C$16*C$3*($A106*C$105))/C$19</f>
        <v>68249.180060662082</v>
      </c>
      <c r="D106" s="187">
        <f t="shared" si="202"/>
        <v>204747.54018198623</v>
      </c>
      <c r="E106" s="187">
        <f t="shared" si="202"/>
        <v>341245.90030331037</v>
      </c>
      <c r="F106" s="187">
        <f t="shared" si="202"/>
        <v>477744.26042463456</v>
      </c>
      <c r="G106" s="187">
        <f t="shared" si="202"/>
        <v>682491.80060662073</v>
      </c>
      <c r="H106" s="187">
        <f t="shared" si="202"/>
        <v>1023737.7009099312</v>
      </c>
      <c r="I106" s="187">
        <f t="shared" si="202"/>
        <v>1364983.6012132415</v>
      </c>
      <c r="J106" s="187">
        <f t="shared" si="202"/>
        <v>2047475.4018198624</v>
      </c>
      <c r="K106" s="187">
        <f t="shared" si="202"/>
        <v>3412459.0030331044</v>
      </c>
    </row>
    <row r="107" spans="1:11" ht="14.5" hidden="1" outlineLevel="1">
      <c r="A107">
        <v>2</v>
      </c>
      <c r="B107" s="187">
        <f>(B$16*B$3*($A107*B$105))/B$19</f>
        <v>78901.017559779284</v>
      </c>
      <c r="C107" s="187">
        <f t="shared" si="202"/>
        <v>136498.36012132416</v>
      </c>
      <c r="D107" s="187">
        <f t="shared" si="202"/>
        <v>409495.08036397246</v>
      </c>
      <c r="E107" s="187">
        <f t="shared" si="202"/>
        <v>682491.80060662073</v>
      </c>
      <c r="F107" s="187">
        <f t="shared" si="202"/>
        <v>955488.52084926912</v>
      </c>
      <c r="G107" s="187">
        <f t="shared" si="202"/>
        <v>1364983.6012132415</v>
      </c>
      <c r="H107" s="187">
        <f t="shared" si="202"/>
        <v>2047475.4018198624</v>
      </c>
      <c r="I107" s="187">
        <f t="shared" si="202"/>
        <v>2729967.2024264829</v>
      </c>
      <c r="J107" s="187">
        <f t="shared" si="202"/>
        <v>4094950.8036397249</v>
      </c>
      <c r="K107" s="187">
        <f t="shared" si="202"/>
        <v>6824918.0060662087</v>
      </c>
    </row>
    <row r="108" spans="1:11" ht="14.5" hidden="1" outlineLevel="1">
      <c r="A108">
        <v>3</v>
      </c>
      <c r="B108" s="187">
        <f>(B$16*B$3*($A108*B$105))/B$19</f>
        <v>118351.52633966893</v>
      </c>
      <c r="C108" s="187">
        <f t="shared" si="202"/>
        <v>204747.54018198623</v>
      </c>
      <c r="D108" s="187">
        <f t="shared" si="202"/>
        <v>614242.62054595875</v>
      </c>
      <c r="E108" s="187">
        <f t="shared" si="202"/>
        <v>1023737.7009099312</v>
      </c>
      <c r="F108" s="187">
        <f t="shared" si="202"/>
        <v>1433232.7812739036</v>
      </c>
      <c r="G108" s="187">
        <f t="shared" si="202"/>
        <v>2047475.4018198624</v>
      </c>
      <c r="H108" s="187">
        <f t="shared" si="202"/>
        <v>3071213.1027297936</v>
      </c>
      <c r="I108" s="187">
        <f t="shared" si="202"/>
        <v>4094950.8036397249</v>
      </c>
      <c r="J108" s="187">
        <f t="shared" si="202"/>
        <v>6142426.2054595873</v>
      </c>
      <c r="K108" s="187">
        <f t="shared" si="202"/>
        <v>10237377.009099314</v>
      </c>
    </row>
    <row r="109" spans="1:11" ht="14.5" hidden="1" outlineLevel="1">
      <c r="A109">
        <v>4</v>
      </c>
      <c r="B109" s="187">
        <f>(B$16*B$3*($A109*B$105))/B$19</f>
        <v>157802.03511955857</v>
      </c>
      <c r="C109" s="187">
        <f t="shared" si="202"/>
        <v>272996.72024264833</v>
      </c>
      <c r="D109" s="187">
        <f t="shared" si="202"/>
        <v>818990.16072794492</v>
      </c>
      <c r="E109" s="187">
        <f t="shared" si="202"/>
        <v>1364983.6012132415</v>
      </c>
      <c r="F109" s="187">
        <f t="shared" si="202"/>
        <v>1910977.0416985382</v>
      </c>
      <c r="G109" s="187">
        <f t="shared" si="202"/>
        <v>2729967.2024264829</v>
      </c>
      <c r="H109" s="187">
        <f t="shared" si="202"/>
        <v>4094950.8036397249</v>
      </c>
      <c r="I109" s="187">
        <f t="shared" si="202"/>
        <v>5459934.4048529658</v>
      </c>
      <c r="J109" s="187">
        <f t="shared" si="202"/>
        <v>8189901.6072794497</v>
      </c>
      <c r="K109" s="187">
        <f t="shared" si="202"/>
        <v>13649836.012132417</v>
      </c>
    </row>
    <row r="110" spans="1:11" ht="14.5" hidden="1" outlineLevel="1">
      <c r="A110">
        <v>5</v>
      </c>
      <c r="B110" s="187">
        <f>(B$16*B$3*($A110*B$105))/B$19</f>
        <v>197252.54389944818</v>
      </c>
      <c r="C110" s="187">
        <f t="shared" si="202"/>
        <v>341245.90030331042</v>
      </c>
      <c r="D110" s="187">
        <f t="shared" si="202"/>
        <v>1023737.7009099312</v>
      </c>
      <c r="E110" s="187">
        <f t="shared" si="202"/>
        <v>1706229.5015165519</v>
      </c>
      <c r="F110" s="187">
        <f t="shared" si="202"/>
        <v>2388721.3021231727</v>
      </c>
      <c r="G110" s="187">
        <f t="shared" si="202"/>
        <v>3412459.0030331039</v>
      </c>
      <c r="H110" s="187">
        <f t="shared" si="202"/>
        <v>5118688.5045496561</v>
      </c>
      <c r="I110" s="187">
        <f t="shared" si="202"/>
        <v>6824918.0060662078</v>
      </c>
      <c r="J110" s="187">
        <f t="shared" si="202"/>
        <v>10237377.009099312</v>
      </c>
      <c r="K110" s="187">
        <f t="shared" si="202"/>
        <v>17062295.015165523</v>
      </c>
    </row>
    <row r="111" spans="1:11" ht="14.5" collapsed="1">
      <c r="A111" s="274" t="s">
        <v>503</v>
      </c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</row>
    <row r="112" spans="1:11" ht="14.5" hidden="1" outlineLevel="1">
      <c r="A112">
        <v>1</v>
      </c>
      <c r="B112" s="187">
        <f>B$103*(SQRT(0.0576/(2*($B106^(1/5)))))</f>
        <v>1.1746189430880187</v>
      </c>
      <c r="C112" s="187">
        <f t="shared" ref="C112:I112" si="203">C$103*(SQRT(0.0576/(2*($B106^(1/5)))))</f>
        <v>0.11827658557719543</v>
      </c>
      <c r="D112" s="187">
        <f t="shared" si="203"/>
        <v>0.35482975673158629</v>
      </c>
      <c r="E112" s="187">
        <f t="shared" si="203"/>
        <v>0.59138292788597724</v>
      </c>
      <c r="F112" s="187">
        <f t="shared" si="203"/>
        <v>0.82793609904036813</v>
      </c>
      <c r="G112" s="187">
        <f t="shared" si="203"/>
        <v>1.1827658557719545</v>
      </c>
      <c r="H112" s="187">
        <f t="shared" si="203"/>
        <v>1.7741487836579313</v>
      </c>
      <c r="I112" s="187">
        <f t="shared" si="203"/>
        <v>2.365531711543909</v>
      </c>
      <c r="J112" s="187">
        <f t="shared" ref="J112:K112" si="204">J$103*(SQRT(0.0576/(2*($B106^(1/5)))))</f>
        <v>3.5482975673158625</v>
      </c>
      <c r="K112" s="187">
        <f t="shared" si="204"/>
        <v>5.9138292788597724</v>
      </c>
    </row>
    <row r="113" spans="1:11" ht="14.5" hidden="1" outlineLevel="1">
      <c r="A113">
        <v>2</v>
      </c>
      <c r="B113" s="187">
        <f t="shared" ref="B113:B116" si="205">B$103*(SQRT(0.0576/(2*($B107^(1/5)))))</f>
        <v>1.0959582263852172</v>
      </c>
      <c r="C113" s="187">
        <f t="shared" ref="C113:I113" si="206">C$103*(SQRT(0.0576/(2*($B107^(1/5)))))</f>
        <v>0.11035595646984987</v>
      </c>
      <c r="D113" s="187">
        <f t="shared" si="206"/>
        <v>0.33106786940954963</v>
      </c>
      <c r="E113" s="187">
        <f t="shared" si="206"/>
        <v>0.5517797823492494</v>
      </c>
      <c r="F113" s="187">
        <f t="shared" si="206"/>
        <v>0.77249169528894912</v>
      </c>
      <c r="G113" s="187">
        <f t="shared" si="206"/>
        <v>1.1035595646984988</v>
      </c>
      <c r="H113" s="187">
        <f t="shared" si="206"/>
        <v>1.655339347047748</v>
      </c>
      <c r="I113" s="187">
        <f t="shared" si="206"/>
        <v>2.2071191293969976</v>
      </c>
      <c r="J113" s="187">
        <f t="shared" ref="J113:K113" si="207">J$103*(SQRT(0.0576/(2*($B107^(1/5)))))</f>
        <v>3.310678694095496</v>
      </c>
      <c r="K113" s="187">
        <f t="shared" si="207"/>
        <v>5.5177978234924945</v>
      </c>
    </row>
    <row r="114" spans="1:11" ht="14.5" hidden="1" outlineLevel="1">
      <c r="A114">
        <v>3</v>
      </c>
      <c r="B114" s="187">
        <f t="shared" si="205"/>
        <v>1.0524097791489251</v>
      </c>
      <c r="C114" s="187">
        <f t="shared" ref="C114:I114" si="208">C$103*(SQRT(0.0576/(2*($B108^(1/5)))))</f>
        <v>0.10597090744896813</v>
      </c>
      <c r="D114" s="187">
        <f t="shared" si="208"/>
        <v>0.31791272234690438</v>
      </c>
      <c r="E114" s="187">
        <f t="shared" si="208"/>
        <v>0.52985453724484066</v>
      </c>
      <c r="F114" s="187">
        <f t="shared" si="208"/>
        <v>0.74179635214277695</v>
      </c>
      <c r="G114" s="187">
        <f t="shared" si="208"/>
        <v>1.0597090744896813</v>
      </c>
      <c r="H114" s="187">
        <f t="shared" si="208"/>
        <v>1.5895636117345218</v>
      </c>
      <c r="I114" s="187">
        <f t="shared" si="208"/>
        <v>2.1194181489793626</v>
      </c>
      <c r="J114" s="187">
        <f t="shared" ref="J114:K114" si="209">J$103*(SQRT(0.0576/(2*($B108^(1/5)))))</f>
        <v>3.1791272234690435</v>
      </c>
      <c r="K114" s="187">
        <f t="shared" si="209"/>
        <v>5.2985453724484071</v>
      </c>
    </row>
    <row r="115" spans="1:11" ht="14.5" hidden="1" outlineLevel="1">
      <c r="A115">
        <v>4</v>
      </c>
      <c r="B115" s="187">
        <f t="shared" si="205"/>
        <v>1.0225651825635729</v>
      </c>
      <c r="C115" s="187">
        <f t="shared" ref="C115:I115" si="210">C$103*(SQRT(0.0576/(2*($B109^(1/5)))))</f>
        <v>0.10296574819896973</v>
      </c>
      <c r="D115" s="187">
        <f t="shared" si="210"/>
        <v>0.3088972445969092</v>
      </c>
      <c r="E115" s="187">
        <f t="shared" si="210"/>
        <v>0.51482874099484865</v>
      </c>
      <c r="F115" s="187">
        <f t="shared" si="210"/>
        <v>0.72076023739278816</v>
      </c>
      <c r="G115" s="187">
        <f t="shared" si="210"/>
        <v>1.0296574819896973</v>
      </c>
      <c r="H115" s="187">
        <f t="shared" si="210"/>
        <v>1.5444862229845457</v>
      </c>
      <c r="I115" s="187">
        <f t="shared" si="210"/>
        <v>2.0593149639793946</v>
      </c>
      <c r="J115" s="187">
        <f t="shared" ref="J115:K115" si="211">J$103*(SQRT(0.0576/(2*($B109^(1/5)))))</f>
        <v>3.0889724459690915</v>
      </c>
      <c r="K115" s="187">
        <f t="shared" si="211"/>
        <v>5.1482874099484874</v>
      </c>
    </row>
    <row r="116" spans="1:11" ht="14.5" hidden="1" outlineLevel="1">
      <c r="A116">
        <v>5</v>
      </c>
      <c r="B116" s="187">
        <f t="shared" si="205"/>
        <v>0.99999999999999989</v>
      </c>
      <c r="C116" s="187">
        <f t="shared" ref="C116:I116" si="212">C$103*(SQRT(0.0576/(2*($B110^(1/5)))))</f>
        <v>0.10069357920131253</v>
      </c>
      <c r="D116" s="187">
        <f t="shared" si="212"/>
        <v>0.30208073760393755</v>
      </c>
      <c r="E116" s="187">
        <f t="shared" si="212"/>
        <v>0.50346789600656272</v>
      </c>
      <c r="F116" s="187">
        <f t="shared" si="212"/>
        <v>0.70485505440918772</v>
      </c>
      <c r="G116" s="187">
        <f t="shared" si="212"/>
        <v>1.0069357920131254</v>
      </c>
      <c r="H116" s="187">
        <f t="shared" si="212"/>
        <v>1.5104036880196878</v>
      </c>
      <c r="I116" s="187">
        <f t="shared" si="212"/>
        <v>2.0138715840262509</v>
      </c>
      <c r="J116" s="187">
        <f t="shared" ref="J116:K116" si="213">J$103*(SQRT(0.0576/(2*($B110^(1/5)))))</f>
        <v>3.0208073760393757</v>
      </c>
      <c r="K116" s="187">
        <f t="shared" si="213"/>
        <v>5.0346789600656265</v>
      </c>
    </row>
    <row r="117" spans="1:11" s="188" customFormat="1" ht="14.5" collapsed="1">
      <c r="A117" s="275" t="s">
        <v>506</v>
      </c>
      <c r="B117" s="281">
        <f>B123</f>
        <v>0.99983195461537211</v>
      </c>
      <c r="C117" s="281">
        <f t="shared" ref="C117:I117" si="214">C123</f>
        <v>0.10064661321757948</v>
      </c>
      <c r="D117" s="281">
        <f t="shared" si="214"/>
        <v>0.30082500105207111</v>
      </c>
      <c r="E117" s="281">
        <f t="shared" si="214"/>
        <v>0.49776468493298481</v>
      </c>
      <c r="F117" s="281">
        <f t="shared" si="214"/>
        <v>0.68963480542566613</v>
      </c>
      <c r="G117" s="281">
        <f t="shared" si="214"/>
        <v>0.96496810166095393</v>
      </c>
      <c r="H117" s="281">
        <f t="shared" si="214"/>
        <v>1.3848846732066717</v>
      </c>
      <c r="I117" s="281">
        <f t="shared" si="214"/>
        <v>1.7556002905898076</v>
      </c>
      <c r="J117" s="281">
        <f t="shared" ref="J117:K117" si="215">J123</f>
        <v>2.3752626118980853</v>
      </c>
      <c r="K117" s="281">
        <f t="shared" si="215"/>
        <v>3.3133969314461948</v>
      </c>
    </row>
    <row r="118" spans="1:11" ht="14.5">
      <c r="A118" s="274" t="s">
        <v>540</v>
      </c>
    </row>
    <row r="119" spans="1:11" ht="14.5" hidden="1" outlineLevel="1">
      <c r="A119">
        <v>1</v>
      </c>
      <c r="B119" s="187">
        <f>B112*SQRT((1+0.2*B$7^2)^(-0.467))</f>
        <v>1.1744215537959364</v>
      </c>
      <c r="C119" s="187">
        <f t="shared" ref="C119:I119" si="216">C112*SQRT((1+0.2*C$7^2)^(-0.467))</f>
        <v>0.11822141844302184</v>
      </c>
      <c r="D119" s="187">
        <f t="shared" si="216"/>
        <v>0.35335474479023593</v>
      </c>
      <c r="E119" s="187">
        <f t="shared" si="216"/>
        <v>0.58468382812252329</v>
      </c>
      <c r="F119" s="187">
        <f t="shared" si="216"/>
        <v>0.81005810626580743</v>
      </c>
      <c r="G119" s="187">
        <f t="shared" si="216"/>
        <v>1.1334698116866415</v>
      </c>
      <c r="H119" s="187">
        <f t="shared" si="216"/>
        <v>1.626711771140817</v>
      </c>
      <c r="I119" s="187">
        <f t="shared" si="216"/>
        <v>2.0621613578176183</v>
      </c>
      <c r="J119" s="187">
        <f t="shared" ref="J119:K119" si="217">J112*SQRT((1+0.2*J$7^2)^(-0.467))</f>
        <v>2.7900284587442155</v>
      </c>
      <c r="K119" s="187">
        <f t="shared" si="217"/>
        <v>3.8919788016464145</v>
      </c>
    </row>
    <row r="120" spans="1:11" ht="14.5" hidden="1" outlineLevel="1">
      <c r="A120">
        <v>2</v>
      </c>
      <c r="B120" s="187">
        <f t="shared" ref="B120:B122" si="218">B113*SQRT((1+0.2*B$7^2)^(-0.467))</f>
        <v>1.0957740556635283</v>
      </c>
      <c r="C120" s="187">
        <f t="shared" ref="C120:I120" si="219">C113*SQRT((1+0.2*C$7^2)^(-0.467))</f>
        <v>0.11030448371361737</v>
      </c>
      <c r="D120" s="187">
        <f t="shared" si="219"/>
        <v>0.329691634605359</v>
      </c>
      <c r="E120" s="187">
        <f t="shared" si="219"/>
        <v>0.54552930125635035</v>
      </c>
      <c r="F120" s="187">
        <f t="shared" si="219"/>
        <v>0.7558109382078273</v>
      </c>
      <c r="G120" s="187">
        <f t="shared" si="219"/>
        <v>1.0575647292146491</v>
      </c>
      <c r="H120" s="187">
        <f t="shared" si="219"/>
        <v>1.517775750195655</v>
      </c>
      <c r="I120" s="187">
        <f t="shared" si="219"/>
        <v>1.9240645807161774</v>
      </c>
      <c r="J120" s="187">
        <f t="shared" ref="J120:K120" si="220">J113*SQRT((1+0.2*J$7^2)^(-0.467))</f>
        <v>2.6031885993349437</v>
      </c>
      <c r="K120" s="187">
        <f t="shared" si="220"/>
        <v>3.6313446242979937</v>
      </c>
    </row>
    <row r="121" spans="1:11" ht="14.5" hidden="1" outlineLevel="1">
      <c r="A121">
        <v>3</v>
      </c>
      <c r="B121" s="187">
        <f t="shared" si="218"/>
        <v>1.0522329265428019</v>
      </c>
      <c r="C121" s="187">
        <f t="shared" ref="C121:I121" si="221">C114*SQRT((1+0.2*C$7^2)^(-0.467))</f>
        <v>0.10592147998840012</v>
      </c>
      <c r="D121" s="187">
        <f t="shared" si="221"/>
        <v>0.31659117291968536</v>
      </c>
      <c r="E121" s="187">
        <f t="shared" si="221"/>
        <v>0.52385242213845684</v>
      </c>
      <c r="F121" s="187">
        <f t="shared" si="221"/>
        <v>0.72577841327143733</v>
      </c>
      <c r="G121" s="187">
        <f t="shared" si="221"/>
        <v>1.015541866754762</v>
      </c>
      <c r="H121" s="187">
        <f t="shared" si="221"/>
        <v>1.4574661730761649</v>
      </c>
      <c r="I121" s="187">
        <f t="shared" si="221"/>
        <v>1.8476109140934081</v>
      </c>
      <c r="J121" s="187">
        <f t="shared" ref="J121:K121" si="222">J114*SQRT((1+0.2*J$7^2)^(-0.467))</f>
        <v>2.4997496008083631</v>
      </c>
      <c r="K121" s="187">
        <f t="shared" si="222"/>
        <v>3.4870513328560171</v>
      </c>
    </row>
    <row r="122" spans="1:11" ht="14.5" hidden="1" outlineLevel="1">
      <c r="A122">
        <v>4</v>
      </c>
      <c r="B122" s="187">
        <f t="shared" si="218"/>
        <v>1.022393345204162</v>
      </c>
      <c r="C122" s="187">
        <f t="shared" ref="C122:I122" si="223">C115*SQRT((1+0.2*C$7^2)^(-0.467))</f>
        <v>0.10291772241923947</v>
      </c>
      <c r="D122" s="187">
        <f t="shared" si="223"/>
        <v>0.30761317212049816</v>
      </c>
      <c r="E122" s="187">
        <f t="shared" si="223"/>
        <v>0.5089968359221968</v>
      </c>
      <c r="F122" s="187">
        <f t="shared" si="223"/>
        <v>0.70519654071229032</v>
      </c>
      <c r="G122" s="187">
        <f t="shared" si="223"/>
        <v>0.98674278304295759</v>
      </c>
      <c r="H122" s="187">
        <f t="shared" si="223"/>
        <v>1.4161348486870742</v>
      </c>
      <c r="I122" s="187">
        <f t="shared" si="223"/>
        <v>1.7952157316556279</v>
      </c>
      <c r="J122" s="187">
        <f t="shared" ref="J122:K122" si="224">J115*SQRT((1+0.2*J$7^2)^(-0.467))</f>
        <v>2.4288608463719941</v>
      </c>
      <c r="K122" s="187">
        <f t="shared" si="224"/>
        <v>3.3881643381098612</v>
      </c>
    </row>
    <row r="123" spans="1:11" ht="14.5" hidden="1" outlineLevel="1">
      <c r="A123">
        <v>5</v>
      </c>
      <c r="B123" s="187">
        <f>B116*SQRT((1+0.2*B$7^2)^(-0.467))</f>
        <v>0.99983195461537211</v>
      </c>
      <c r="C123" s="187">
        <f t="shared" ref="C123:I123" si="225">C116*SQRT((1+0.2*C$7^2)^(-0.467))</f>
        <v>0.10064661321757948</v>
      </c>
      <c r="D123" s="187">
        <f t="shared" si="225"/>
        <v>0.30082500105207111</v>
      </c>
      <c r="E123" s="187">
        <f t="shared" si="225"/>
        <v>0.49776468493298481</v>
      </c>
      <c r="F123" s="187">
        <f t="shared" si="225"/>
        <v>0.68963480542566613</v>
      </c>
      <c r="G123" s="187">
        <f t="shared" si="225"/>
        <v>0.96496810166095393</v>
      </c>
      <c r="H123" s="187">
        <f t="shared" si="225"/>
        <v>1.3848846732066717</v>
      </c>
      <c r="I123" s="187">
        <f t="shared" si="225"/>
        <v>1.7556002905898076</v>
      </c>
      <c r="J123" s="187">
        <f t="shared" ref="J123:K123" si="226">J116*SQRT((1+0.2*J$7^2)^(-0.467))</f>
        <v>2.3752626118980853</v>
      </c>
      <c r="K123" s="187">
        <f t="shared" si="226"/>
        <v>3.3133969314461948</v>
      </c>
    </row>
    <row r="124" spans="1:11" ht="14.5" collapsed="1"/>
    <row r="125" spans="1:11" s="188" customFormat="1" ht="14.5">
      <c r="A125" s="295" t="s">
        <v>541</v>
      </c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</row>
    <row r="126" spans="1:11" ht="14.5"/>
    <row r="127" spans="1:11" ht="15" customHeight="1">
      <c r="A127" s="268" t="s">
        <v>530</v>
      </c>
    </row>
    <row r="128" spans="1:11" s="269" customFormat="1" ht="15" customHeight="1">
      <c r="A128" s="273" t="s">
        <v>390</v>
      </c>
      <c r="B128" s="279">
        <f>IF(B6&lt;1,B93*RADIANS(B9),B94*RADIANS(B9))</f>
        <v>0.46631370131506611</v>
      </c>
      <c r="C128" s="279">
        <f t="shared" ref="C128:I128" si="227">IF(C6&lt;1,C93*RADIANS(C9),C94*RADIANS(C9))</f>
        <v>0</v>
      </c>
      <c r="D128" s="279">
        <f t="shared" si="227"/>
        <v>0</v>
      </c>
      <c r="E128" s="279">
        <f t="shared" si="227"/>
        <v>0</v>
      </c>
      <c r="F128" s="279">
        <f t="shared" si="227"/>
        <v>0</v>
      </c>
      <c r="G128" s="279">
        <f t="shared" si="227"/>
        <v>0</v>
      </c>
      <c r="H128" s="279">
        <f t="shared" si="227"/>
        <v>0</v>
      </c>
      <c r="I128" s="279">
        <f t="shared" si="227"/>
        <v>0</v>
      </c>
      <c r="J128" s="279">
        <f t="shared" ref="J128:K128" si="228">IF(J6&lt;1,J93*RADIANS(J9),J94*RADIANS(J9))</f>
        <v>0</v>
      </c>
      <c r="K128" s="279">
        <f t="shared" si="228"/>
        <v>0</v>
      </c>
    </row>
    <row r="129" spans="1:11" ht="15" customHeight="1">
      <c r="A129" t="s">
        <v>391</v>
      </c>
    </row>
    <row r="130" spans="1:11" ht="15" hidden="1" customHeight="1" outlineLevel="1">
      <c r="A130">
        <v>1</v>
      </c>
      <c r="B130" s="192">
        <f>B$29*(B81)*B$128</f>
        <v>0.23582357501647838</v>
      </c>
      <c r="C130" s="192">
        <f t="shared" ref="C130:I130" si="229">C$29*(C81)*C$128</f>
        <v>0</v>
      </c>
      <c r="D130" s="192">
        <f t="shared" si="229"/>
        <v>0</v>
      </c>
      <c r="E130" s="192">
        <f t="shared" si="229"/>
        <v>0</v>
      </c>
      <c r="F130" s="192">
        <f t="shared" si="229"/>
        <v>0</v>
      </c>
      <c r="G130" s="192">
        <f t="shared" si="229"/>
        <v>0</v>
      </c>
      <c r="H130" s="192">
        <f t="shared" si="229"/>
        <v>0</v>
      </c>
      <c r="I130" s="192">
        <f t="shared" si="229"/>
        <v>0</v>
      </c>
      <c r="J130" s="192">
        <f t="shared" ref="J130:K130" si="230">J$29*(J81)*J$128</f>
        <v>0</v>
      </c>
      <c r="K130" s="192">
        <f t="shared" si="230"/>
        <v>0</v>
      </c>
    </row>
    <row r="131" spans="1:11" ht="15" hidden="1" customHeight="1" outlineLevel="1">
      <c r="A131">
        <v>2</v>
      </c>
      <c r="B131" s="192">
        <f t="shared" ref="B131" si="231">B$29*(B82)*B$128</f>
        <v>0.22845408829721348</v>
      </c>
      <c r="C131" s="192">
        <f t="shared" ref="C131:I131" si="232">C$29*(C82)*C$128</f>
        <v>0</v>
      </c>
      <c r="D131" s="192">
        <f t="shared" si="232"/>
        <v>0</v>
      </c>
      <c r="E131" s="192">
        <f t="shared" si="232"/>
        <v>0</v>
      </c>
      <c r="F131" s="192">
        <f t="shared" si="232"/>
        <v>0</v>
      </c>
      <c r="G131" s="192">
        <f t="shared" si="232"/>
        <v>0</v>
      </c>
      <c r="H131" s="192">
        <f t="shared" si="232"/>
        <v>0</v>
      </c>
      <c r="I131" s="192">
        <f t="shared" si="232"/>
        <v>0</v>
      </c>
      <c r="J131" s="192">
        <f t="shared" ref="J131:K131" si="233">J$29*(J82)*J$128</f>
        <v>0</v>
      </c>
      <c r="K131" s="192">
        <f t="shared" si="233"/>
        <v>0</v>
      </c>
    </row>
    <row r="132" spans="1:11" ht="15" hidden="1" customHeight="1" outlineLevel="1">
      <c r="A132">
        <v>3</v>
      </c>
      <c r="B132" s="192">
        <f t="shared" ref="B132" si="234">B$29*(B83)*B$128</f>
        <v>0.22108460157794849</v>
      </c>
      <c r="C132" s="192">
        <f t="shared" ref="C132:I132" si="235">C$29*(C83)*C$128</f>
        <v>0</v>
      </c>
      <c r="D132" s="192">
        <f t="shared" si="235"/>
        <v>0</v>
      </c>
      <c r="E132" s="192">
        <f t="shared" si="235"/>
        <v>0</v>
      </c>
      <c r="F132" s="192">
        <f t="shared" si="235"/>
        <v>0</v>
      </c>
      <c r="G132" s="192">
        <f t="shared" si="235"/>
        <v>0</v>
      </c>
      <c r="H132" s="192">
        <f t="shared" si="235"/>
        <v>0</v>
      </c>
      <c r="I132" s="192">
        <f t="shared" si="235"/>
        <v>0</v>
      </c>
      <c r="J132" s="192">
        <f t="shared" ref="J132:K132" si="236">J$29*(J83)*J$128</f>
        <v>0</v>
      </c>
      <c r="K132" s="192">
        <f t="shared" si="236"/>
        <v>0</v>
      </c>
    </row>
    <row r="133" spans="1:11" ht="15" hidden="1" customHeight="1" outlineLevel="1">
      <c r="A133">
        <v>4</v>
      </c>
      <c r="B133" s="192">
        <f t="shared" ref="B133" si="237">B$29*(B84)*B$128</f>
        <v>0.21371511485868358</v>
      </c>
      <c r="C133" s="192">
        <f t="shared" ref="C133:I133" si="238">C$29*(C84)*C$128</f>
        <v>0</v>
      </c>
      <c r="D133" s="192">
        <f t="shared" si="238"/>
        <v>0</v>
      </c>
      <c r="E133" s="192">
        <f t="shared" si="238"/>
        <v>0</v>
      </c>
      <c r="F133" s="192">
        <f t="shared" si="238"/>
        <v>0</v>
      </c>
      <c r="G133" s="192">
        <f t="shared" si="238"/>
        <v>0</v>
      </c>
      <c r="H133" s="192">
        <f t="shared" si="238"/>
        <v>0</v>
      </c>
      <c r="I133" s="192">
        <f t="shared" si="238"/>
        <v>0</v>
      </c>
      <c r="J133" s="192">
        <f t="shared" ref="J133:K133" si="239">J$29*(J84)*J$128</f>
        <v>0</v>
      </c>
      <c r="K133" s="192">
        <f t="shared" si="239"/>
        <v>0</v>
      </c>
    </row>
    <row r="134" spans="1:11" ht="15" hidden="1" customHeight="1" outlineLevel="1">
      <c r="A134">
        <v>5</v>
      </c>
      <c r="B134" s="192">
        <f t="shared" ref="B134" si="240">B$29*(B85)*B$128</f>
        <v>0.20634562813941859</v>
      </c>
      <c r="C134" s="192">
        <f t="shared" ref="C134:I134" si="241">C$29*(C85)*C$128</f>
        <v>0</v>
      </c>
      <c r="D134" s="192">
        <f t="shared" si="241"/>
        <v>0</v>
      </c>
      <c r="E134" s="192">
        <f t="shared" si="241"/>
        <v>0</v>
      </c>
      <c r="F134" s="192">
        <f t="shared" si="241"/>
        <v>0</v>
      </c>
      <c r="G134" s="192">
        <f t="shared" si="241"/>
        <v>0</v>
      </c>
      <c r="H134" s="192">
        <f t="shared" si="241"/>
        <v>0</v>
      </c>
      <c r="I134" s="192">
        <f t="shared" si="241"/>
        <v>0</v>
      </c>
      <c r="J134" s="192">
        <f t="shared" ref="J134:K134" si="242">J$29*(J85)*J$128</f>
        <v>0</v>
      </c>
      <c r="K134" s="192">
        <f t="shared" si="242"/>
        <v>0</v>
      </c>
    </row>
    <row r="135" spans="1:11" ht="15" hidden="1" customHeight="1" outlineLevel="1">
      <c r="A135">
        <v>6</v>
      </c>
      <c r="B135" s="192">
        <f t="shared" ref="B135" si="243">B$29*(B86)*B$128</f>
        <v>0.19897614142015366</v>
      </c>
      <c r="C135" s="192">
        <f t="shared" ref="C135:I135" si="244">C$29*(C86)*C$128</f>
        <v>0</v>
      </c>
      <c r="D135" s="192">
        <f t="shared" si="244"/>
        <v>0</v>
      </c>
      <c r="E135" s="192">
        <f t="shared" si="244"/>
        <v>0</v>
      </c>
      <c r="F135" s="192">
        <f t="shared" si="244"/>
        <v>0</v>
      </c>
      <c r="G135" s="192">
        <f t="shared" si="244"/>
        <v>0</v>
      </c>
      <c r="H135" s="192">
        <f t="shared" si="244"/>
        <v>0</v>
      </c>
      <c r="I135" s="192">
        <f t="shared" si="244"/>
        <v>0</v>
      </c>
      <c r="J135" s="192">
        <f t="shared" ref="J135:K135" si="245">J$29*(J86)*J$128</f>
        <v>0</v>
      </c>
      <c r="K135" s="192">
        <f t="shared" si="245"/>
        <v>0</v>
      </c>
    </row>
    <row r="136" spans="1:11" ht="15" hidden="1" customHeight="1" outlineLevel="1">
      <c r="A136">
        <v>7</v>
      </c>
      <c r="B136" s="192">
        <f t="shared" ref="B136" si="246">B$29*(B87)*B$128</f>
        <v>0.19160665470088872</v>
      </c>
      <c r="C136" s="192">
        <f t="shared" ref="C136:I136" si="247">C$29*(C87)*C$128</f>
        <v>0</v>
      </c>
      <c r="D136" s="192">
        <f t="shared" si="247"/>
        <v>0</v>
      </c>
      <c r="E136" s="192">
        <f t="shared" si="247"/>
        <v>0</v>
      </c>
      <c r="F136" s="192">
        <f t="shared" si="247"/>
        <v>0</v>
      </c>
      <c r="G136" s="192">
        <f t="shared" si="247"/>
        <v>0</v>
      </c>
      <c r="H136" s="192">
        <f t="shared" si="247"/>
        <v>0</v>
      </c>
      <c r="I136" s="192">
        <f t="shared" si="247"/>
        <v>0</v>
      </c>
      <c r="J136" s="192">
        <f t="shared" ref="J136:K136" si="248">J$29*(J87)*J$128</f>
        <v>0</v>
      </c>
      <c r="K136" s="192">
        <f t="shared" si="248"/>
        <v>0</v>
      </c>
    </row>
    <row r="137" spans="1:11" ht="15" hidden="1" customHeight="1" outlineLevel="1">
      <c r="A137">
        <v>8</v>
      </c>
      <c r="B137" s="192">
        <f t="shared" ref="B137" si="249">B$29*(B88)*B$128</f>
        <v>0.18423716798162373</v>
      </c>
      <c r="C137" s="192">
        <f t="shared" ref="C137:I137" si="250">C$29*(C88)*C$128</f>
        <v>0</v>
      </c>
      <c r="D137" s="192">
        <f t="shared" si="250"/>
        <v>0</v>
      </c>
      <c r="E137" s="192">
        <f t="shared" si="250"/>
        <v>0</v>
      </c>
      <c r="F137" s="192">
        <f t="shared" si="250"/>
        <v>0</v>
      </c>
      <c r="G137" s="192">
        <f t="shared" si="250"/>
        <v>0</v>
      </c>
      <c r="H137" s="192">
        <f t="shared" si="250"/>
        <v>0</v>
      </c>
      <c r="I137" s="192">
        <f t="shared" si="250"/>
        <v>0</v>
      </c>
      <c r="J137" s="192">
        <f t="shared" ref="J137:K137" si="251">J$29*(J88)*J$128</f>
        <v>0</v>
      </c>
      <c r="K137" s="192">
        <f t="shared" si="251"/>
        <v>0</v>
      </c>
    </row>
    <row r="138" spans="1:11" ht="15" hidden="1" customHeight="1" outlineLevel="1">
      <c r="A138">
        <v>9</v>
      </c>
      <c r="B138" s="192">
        <f t="shared" ref="B138" si="252">B$29*(B89)*B$128</f>
        <v>0.1768676812623588</v>
      </c>
      <c r="C138" s="192">
        <f t="shared" ref="C138:I138" si="253">C$29*(C89)*C$128</f>
        <v>0</v>
      </c>
      <c r="D138" s="192">
        <f t="shared" si="253"/>
        <v>0</v>
      </c>
      <c r="E138" s="192">
        <f t="shared" si="253"/>
        <v>0</v>
      </c>
      <c r="F138" s="192">
        <f t="shared" si="253"/>
        <v>0</v>
      </c>
      <c r="G138" s="192">
        <f t="shared" si="253"/>
        <v>0</v>
      </c>
      <c r="H138" s="192">
        <f t="shared" si="253"/>
        <v>0</v>
      </c>
      <c r="I138" s="192">
        <f t="shared" si="253"/>
        <v>0</v>
      </c>
      <c r="J138" s="192">
        <f t="shared" ref="J138:K138" si="254">J$29*(J89)*J$128</f>
        <v>0</v>
      </c>
      <c r="K138" s="192">
        <f t="shared" si="254"/>
        <v>0</v>
      </c>
    </row>
    <row r="139" spans="1:11" ht="15" hidden="1" customHeight="1" outlineLevel="1">
      <c r="A139">
        <v>10</v>
      </c>
      <c r="B139" s="192">
        <f t="shared" ref="B139" si="255">B$29*(B90)*B$128</f>
        <v>0.16949819454309384</v>
      </c>
      <c r="C139" s="192">
        <f t="shared" ref="C139:I139" si="256">C$29*(C90)*C$128</f>
        <v>0</v>
      </c>
      <c r="D139" s="192">
        <f t="shared" si="256"/>
        <v>0</v>
      </c>
      <c r="E139" s="192">
        <f t="shared" si="256"/>
        <v>0</v>
      </c>
      <c r="F139" s="192">
        <f t="shared" si="256"/>
        <v>0</v>
      </c>
      <c r="G139" s="192">
        <f t="shared" si="256"/>
        <v>0</v>
      </c>
      <c r="H139" s="192">
        <f t="shared" si="256"/>
        <v>0</v>
      </c>
      <c r="I139" s="192">
        <f t="shared" si="256"/>
        <v>0</v>
      </c>
      <c r="J139" s="192">
        <f t="shared" ref="J139:K139" si="257">J$29*(J90)*J$128</f>
        <v>0</v>
      </c>
      <c r="K139" s="192">
        <f t="shared" si="257"/>
        <v>0</v>
      </c>
    </row>
    <row r="140" spans="1:11" ht="15" customHeight="1" collapsed="1">
      <c r="A140" t="s">
        <v>509</v>
      </c>
    </row>
    <row r="141" spans="1:11" ht="15" hidden="1" customHeight="1" outlineLevel="1">
      <c r="A141">
        <v>1</v>
      </c>
      <c r="B141" s="192">
        <f>B130*$A141*(B$48/11)</f>
        <v>3.2157760229519776E-3</v>
      </c>
      <c r="C141" s="192">
        <f t="shared" ref="C141:I141" si="258">C130*$A141*(C$48/11)</f>
        <v>0</v>
      </c>
      <c r="D141" s="192">
        <f t="shared" si="258"/>
        <v>0</v>
      </c>
      <c r="E141" s="192">
        <f t="shared" si="258"/>
        <v>0</v>
      </c>
      <c r="F141" s="192">
        <f t="shared" si="258"/>
        <v>0</v>
      </c>
      <c r="G141" s="192">
        <f t="shared" si="258"/>
        <v>0</v>
      </c>
      <c r="H141" s="192">
        <f t="shared" si="258"/>
        <v>0</v>
      </c>
      <c r="I141" s="192">
        <f t="shared" si="258"/>
        <v>0</v>
      </c>
      <c r="J141" s="192">
        <f t="shared" ref="J141:K141" si="259">J130*$A141*(J$48/11)</f>
        <v>0</v>
      </c>
      <c r="K141" s="192">
        <f t="shared" si="259"/>
        <v>0</v>
      </c>
    </row>
    <row r="142" spans="1:11" ht="15" hidden="1" customHeight="1" outlineLevel="1">
      <c r="A142">
        <v>2</v>
      </c>
      <c r="B142" s="192">
        <f t="shared" ref="B142:B150" si="260">B131*$A142*(B$48/11)</f>
        <v>6.2305660444694584E-3</v>
      </c>
      <c r="C142" s="192">
        <f t="shared" ref="C142:I142" si="261">C131*$A142*(C$48/11)</f>
        <v>0</v>
      </c>
      <c r="D142" s="192">
        <f t="shared" si="261"/>
        <v>0</v>
      </c>
      <c r="E142" s="192">
        <f t="shared" si="261"/>
        <v>0</v>
      </c>
      <c r="F142" s="192">
        <f t="shared" si="261"/>
        <v>0</v>
      </c>
      <c r="G142" s="192">
        <f t="shared" si="261"/>
        <v>0</v>
      </c>
      <c r="H142" s="192">
        <f t="shared" si="261"/>
        <v>0</v>
      </c>
      <c r="I142" s="192">
        <f t="shared" si="261"/>
        <v>0</v>
      </c>
      <c r="J142" s="192">
        <f t="shared" ref="J142:K142" si="262">J131*$A142*(J$48/11)</f>
        <v>0</v>
      </c>
      <c r="K142" s="192">
        <f t="shared" si="262"/>
        <v>0</v>
      </c>
    </row>
    <row r="143" spans="1:11" ht="15" hidden="1" customHeight="1" outlineLevel="1">
      <c r="A143">
        <v>3</v>
      </c>
      <c r="B143" s="192">
        <f t="shared" si="260"/>
        <v>9.0443700645524375E-3</v>
      </c>
      <c r="C143" s="192">
        <f t="shared" ref="C143:I143" si="263">C132*$A143*(C$48/11)</f>
        <v>0</v>
      </c>
      <c r="D143" s="192">
        <f t="shared" si="263"/>
        <v>0</v>
      </c>
      <c r="E143" s="192">
        <f t="shared" si="263"/>
        <v>0</v>
      </c>
      <c r="F143" s="192">
        <f t="shared" si="263"/>
        <v>0</v>
      </c>
      <c r="G143" s="192">
        <f t="shared" si="263"/>
        <v>0</v>
      </c>
      <c r="H143" s="192">
        <f t="shared" si="263"/>
        <v>0</v>
      </c>
      <c r="I143" s="192">
        <f t="shared" si="263"/>
        <v>0</v>
      </c>
      <c r="J143" s="192">
        <f t="shared" ref="J143:K143" si="264">J132*$A143*(J$48/11)</f>
        <v>0</v>
      </c>
      <c r="K143" s="192">
        <f t="shared" si="264"/>
        <v>0</v>
      </c>
    </row>
    <row r="144" spans="1:11" ht="15" hidden="1" customHeight="1" outlineLevel="1">
      <c r="A144">
        <v>4</v>
      </c>
      <c r="B144" s="192">
        <f t="shared" si="260"/>
        <v>1.1657188083200922E-2</v>
      </c>
      <c r="C144" s="192">
        <f t="shared" ref="C144:I144" si="265">C133*$A144*(C$48/11)</f>
        <v>0</v>
      </c>
      <c r="D144" s="192">
        <f t="shared" si="265"/>
        <v>0</v>
      </c>
      <c r="E144" s="192">
        <f t="shared" si="265"/>
        <v>0</v>
      </c>
      <c r="F144" s="192">
        <f t="shared" si="265"/>
        <v>0</v>
      </c>
      <c r="G144" s="192">
        <f t="shared" si="265"/>
        <v>0</v>
      </c>
      <c r="H144" s="192">
        <f t="shared" si="265"/>
        <v>0</v>
      </c>
      <c r="I144" s="192">
        <f t="shared" si="265"/>
        <v>0</v>
      </c>
      <c r="J144" s="192">
        <f t="shared" ref="J144:K144" si="266">J133*$A144*(J$48/11)</f>
        <v>0</v>
      </c>
      <c r="K144" s="192">
        <f t="shared" si="266"/>
        <v>0</v>
      </c>
    </row>
    <row r="145" spans="1:11" ht="15" hidden="1" customHeight="1" outlineLevel="1">
      <c r="A145">
        <v>5</v>
      </c>
      <c r="B145" s="192">
        <f t="shared" si="260"/>
        <v>1.4069020100414902E-2</v>
      </c>
      <c r="C145" s="192">
        <f t="shared" ref="C145:I145" si="267">C134*$A145*(C$48/11)</f>
        <v>0</v>
      </c>
      <c r="D145" s="192">
        <f t="shared" si="267"/>
        <v>0</v>
      </c>
      <c r="E145" s="192">
        <f t="shared" si="267"/>
        <v>0</v>
      </c>
      <c r="F145" s="192">
        <f t="shared" si="267"/>
        <v>0</v>
      </c>
      <c r="G145" s="192">
        <f t="shared" si="267"/>
        <v>0</v>
      </c>
      <c r="H145" s="192">
        <f t="shared" si="267"/>
        <v>0</v>
      </c>
      <c r="I145" s="192">
        <f t="shared" si="267"/>
        <v>0</v>
      </c>
      <c r="J145" s="192">
        <f t="shared" ref="J145:K145" si="268">J134*$A145*(J$48/11)</f>
        <v>0</v>
      </c>
      <c r="K145" s="192">
        <f t="shared" si="268"/>
        <v>0</v>
      </c>
    </row>
    <row r="146" spans="1:11" ht="15" hidden="1" customHeight="1" outlineLevel="1">
      <c r="A146">
        <v>6</v>
      </c>
      <c r="B146" s="192">
        <f t="shared" si="260"/>
        <v>1.6279866116194391E-2</v>
      </c>
      <c r="C146" s="192">
        <f t="shared" ref="C146:I146" si="269">C135*$A146*(C$48/11)</f>
        <v>0</v>
      </c>
      <c r="D146" s="192">
        <f t="shared" si="269"/>
        <v>0</v>
      </c>
      <c r="E146" s="192">
        <f t="shared" si="269"/>
        <v>0</v>
      </c>
      <c r="F146" s="192">
        <f t="shared" si="269"/>
        <v>0</v>
      </c>
      <c r="G146" s="192">
        <f t="shared" si="269"/>
        <v>0</v>
      </c>
      <c r="H146" s="192">
        <f t="shared" si="269"/>
        <v>0</v>
      </c>
      <c r="I146" s="192">
        <f t="shared" si="269"/>
        <v>0</v>
      </c>
      <c r="J146" s="192">
        <f t="shared" ref="J146:K146" si="270">J135*$A146*(J$48/11)</f>
        <v>0</v>
      </c>
      <c r="K146" s="192">
        <f t="shared" si="270"/>
        <v>0</v>
      </c>
    </row>
    <row r="147" spans="1:11" ht="15" hidden="1" customHeight="1" outlineLevel="1">
      <c r="A147">
        <v>7</v>
      </c>
      <c r="B147" s="192">
        <f t="shared" si="260"/>
        <v>1.8289726130539377E-2</v>
      </c>
      <c r="C147" s="192">
        <f t="shared" ref="C147:I147" si="271">C136*$A147*(C$48/11)</f>
        <v>0</v>
      </c>
      <c r="D147" s="192">
        <f t="shared" si="271"/>
        <v>0</v>
      </c>
      <c r="E147" s="192">
        <f t="shared" si="271"/>
        <v>0</v>
      </c>
      <c r="F147" s="192">
        <f t="shared" si="271"/>
        <v>0</v>
      </c>
      <c r="G147" s="192">
        <f t="shared" si="271"/>
        <v>0</v>
      </c>
      <c r="H147" s="192">
        <f t="shared" si="271"/>
        <v>0</v>
      </c>
      <c r="I147" s="192">
        <f t="shared" si="271"/>
        <v>0</v>
      </c>
      <c r="J147" s="192">
        <f t="shared" ref="J147:K147" si="272">J136*$A147*(J$48/11)</f>
        <v>0</v>
      </c>
      <c r="K147" s="192">
        <f t="shared" si="272"/>
        <v>0</v>
      </c>
    </row>
    <row r="148" spans="1:11" ht="15" hidden="1" customHeight="1" outlineLevel="1">
      <c r="A148">
        <v>8</v>
      </c>
      <c r="B148" s="192">
        <f t="shared" si="260"/>
        <v>2.0098600143449861E-2</v>
      </c>
      <c r="C148" s="192">
        <f t="shared" ref="C148:I148" si="273">C137*$A148*(C$48/11)</f>
        <v>0</v>
      </c>
      <c r="D148" s="192">
        <f t="shared" si="273"/>
        <v>0</v>
      </c>
      <c r="E148" s="192">
        <f t="shared" si="273"/>
        <v>0</v>
      </c>
      <c r="F148" s="192">
        <f t="shared" si="273"/>
        <v>0</v>
      </c>
      <c r="G148" s="192">
        <f t="shared" si="273"/>
        <v>0</v>
      </c>
      <c r="H148" s="192">
        <f t="shared" si="273"/>
        <v>0</v>
      </c>
      <c r="I148" s="192">
        <f t="shared" si="273"/>
        <v>0</v>
      </c>
      <c r="J148" s="192">
        <f t="shared" ref="J148:K148" si="274">J137*$A148*(J$48/11)</f>
        <v>0</v>
      </c>
      <c r="K148" s="192">
        <f t="shared" si="274"/>
        <v>0</v>
      </c>
    </row>
    <row r="149" spans="1:11" ht="15" hidden="1" customHeight="1" outlineLevel="1">
      <c r="A149">
        <v>9</v>
      </c>
      <c r="B149" s="192">
        <f t="shared" si="260"/>
        <v>2.1706488154925853E-2</v>
      </c>
      <c r="C149" s="192">
        <f t="shared" ref="C149:I149" si="275">C138*$A149*(C$48/11)</f>
        <v>0</v>
      </c>
      <c r="D149" s="192">
        <f t="shared" si="275"/>
        <v>0</v>
      </c>
      <c r="E149" s="192">
        <f t="shared" si="275"/>
        <v>0</v>
      </c>
      <c r="F149" s="192">
        <f t="shared" si="275"/>
        <v>0</v>
      </c>
      <c r="G149" s="192">
        <f t="shared" si="275"/>
        <v>0</v>
      </c>
      <c r="H149" s="192">
        <f t="shared" si="275"/>
        <v>0</v>
      </c>
      <c r="I149" s="192">
        <f t="shared" si="275"/>
        <v>0</v>
      </c>
      <c r="J149" s="192">
        <f t="shared" ref="J149:K149" si="276">J138*$A149*(J$48/11)</f>
        <v>0</v>
      </c>
      <c r="K149" s="192">
        <f t="shared" si="276"/>
        <v>0</v>
      </c>
    </row>
    <row r="150" spans="1:11" ht="15" hidden="1" customHeight="1" outlineLevel="1">
      <c r="A150">
        <v>10</v>
      </c>
      <c r="B150" s="192">
        <f t="shared" si="260"/>
        <v>2.3113390164967339E-2</v>
      </c>
      <c r="C150" s="192">
        <f t="shared" ref="C150:I150" si="277">C139*$A150*(C$48/11)</f>
        <v>0</v>
      </c>
      <c r="D150" s="192">
        <f t="shared" si="277"/>
        <v>0</v>
      </c>
      <c r="E150" s="192">
        <f t="shared" si="277"/>
        <v>0</v>
      </c>
      <c r="F150" s="192">
        <f t="shared" si="277"/>
        <v>0</v>
      </c>
      <c r="G150" s="192">
        <f t="shared" si="277"/>
        <v>0</v>
      </c>
      <c r="H150" s="192">
        <f t="shared" si="277"/>
        <v>0</v>
      </c>
      <c r="I150" s="192">
        <f t="shared" si="277"/>
        <v>0</v>
      </c>
      <c r="J150" s="192">
        <f t="shared" ref="J150:K150" si="278">J139*$A150*(J$48/11)</f>
        <v>0</v>
      </c>
      <c r="K150" s="192">
        <f t="shared" si="278"/>
        <v>0</v>
      </c>
    </row>
    <row r="151" spans="1:11" ht="15" customHeight="1" collapsed="1">
      <c r="A151" t="s">
        <v>511</v>
      </c>
      <c r="B151" s="192">
        <f>SUM(B130:B139)</f>
        <v>2.0266088477978612</v>
      </c>
      <c r="C151" s="192">
        <f t="shared" ref="C151:I151" si="279">SUM(C130:C139)</f>
        <v>0</v>
      </c>
      <c r="D151" s="192">
        <f t="shared" si="279"/>
        <v>0</v>
      </c>
      <c r="E151" s="192">
        <f t="shared" si="279"/>
        <v>0</v>
      </c>
      <c r="F151" s="192">
        <f t="shared" si="279"/>
        <v>0</v>
      </c>
      <c r="G151" s="192">
        <f t="shared" si="279"/>
        <v>0</v>
      </c>
      <c r="H151" s="192">
        <f t="shared" si="279"/>
        <v>0</v>
      </c>
      <c r="I151" s="192">
        <f t="shared" si="279"/>
        <v>0</v>
      </c>
      <c r="J151" s="192">
        <f t="shared" ref="J151:K151" si="280">SUM(J130:J139)</f>
        <v>0</v>
      </c>
      <c r="K151" s="192">
        <f t="shared" si="280"/>
        <v>0</v>
      </c>
    </row>
    <row r="152" spans="1:11" ht="15" customHeight="1">
      <c r="A152" t="s">
        <v>510</v>
      </c>
      <c r="B152" s="192">
        <f>SUM(B141:B150)</f>
        <v>0.1437049910256665</v>
      </c>
      <c r="C152" s="192">
        <f t="shared" ref="C152:I152" si="281">SUM(C141:C150)</f>
        <v>0</v>
      </c>
      <c r="D152" s="192">
        <f t="shared" si="281"/>
        <v>0</v>
      </c>
      <c r="E152" s="192">
        <f t="shared" si="281"/>
        <v>0</v>
      </c>
      <c r="F152" s="192">
        <f t="shared" si="281"/>
        <v>0</v>
      </c>
      <c r="G152" s="192">
        <f t="shared" si="281"/>
        <v>0</v>
      </c>
      <c r="H152" s="192">
        <f t="shared" si="281"/>
        <v>0</v>
      </c>
      <c r="I152" s="192">
        <f t="shared" si="281"/>
        <v>0</v>
      </c>
      <c r="J152" s="192">
        <f t="shared" ref="J152:K152" si="282">SUM(J141:J150)</f>
        <v>0</v>
      </c>
      <c r="K152" s="192">
        <f t="shared" si="282"/>
        <v>0</v>
      </c>
    </row>
    <row r="153" spans="1:11" ht="15" customHeight="1">
      <c r="A153" s="278" t="s">
        <v>392</v>
      </c>
      <c r="B153" s="192">
        <f t="shared" ref="B153" si="283">(2*B151)/(B29*B91)</f>
        <v>0.93262740263013222</v>
      </c>
      <c r="C153" s="192">
        <f t="shared" ref="C153:I153" si="284">(2*C151)/(C29*C91)</f>
        <v>0</v>
      </c>
      <c r="D153" s="192">
        <f t="shared" si="284"/>
        <v>0</v>
      </c>
      <c r="E153" s="192">
        <f t="shared" si="284"/>
        <v>0</v>
      </c>
      <c r="F153" s="192">
        <f t="shared" si="284"/>
        <v>0</v>
      </c>
      <c r="G153" s="192">
        <f t="shared" si="284"/>
        <v>0</v>
      </c>
      <c r="H153" s="192">
        <f t="shared" si="284"/>
        <v>0</v>
      </c>
      <c r="I153" s="192">
        <f t="shared" si="284"/>
        <v>0</v>
      </c>
      <c r="J153" s="192">
        <f t="shared" ref="J153:K153" si="285">(2*J151)/(J29*J91)</f>
        <v>0</v>
      </c>
      <c r="K153" s="192">
        <f t="shared" si="285"/>
        <v>0</v>
      </c>
    </row>
    <row r="154" spans="1:11" ht="15" customHeight="1">
      <c r="A154" s="278" t="s">
        <v>512</v>
      </c>
      <c r="B154" s="192">
        <f>(B152/B151)*100</f>
        <v>7.0909090909090891</v>
      </c>
      <c r="C154" s="192" t="e">
        <f t="shared" ref="C154:I154" si="286">(C152/C151)*100</f>
        <v>#DIV/0!</v>
      </c>
      <c r="D154" s="192" t="e">
        <f t="shared" si="286"/>
        <v>#DIV/0!</v>
      </c>
      <c r="E154" s="192" t="e">
        <f t="shared" si="286"/>
        <v>#DIV/0!</v>
      </c>
      <c r="F154" s="192" t="e">
        <f t="shared" si="286"/>
        <v>#DIV/0!</v>
      </c>
      <c r="G154" s="192" t="e">
        <f t="shared" si="286"/>
        <v>#DIV/0!</v>
      </c>
      <c r="H154" s="192" t="e">
        <f t="shared" si="286"/>
        <v>#DIV/0!</v>
      </c>
      <c r="I154" s="192" t="e">
        <f t="shared" si="286"/>
        <v>#DIV/0!</v>
      </c>
      <c r="J154" s="192" t="e">
        <f t="shared" ref="J154:K154" si="287">(J152/J151)*100</f>
        <v>#DIV/0!</v>
      </c>
      <c r="K154" s="192" t="e">
        <f t="shared" si="287"/>
        <v>#DIV/0!</v>
      </c>
    </row>
    <row r="155" spans="1:11" ht="15" customHeight="1">
      <c r="A155" t="s">
        <v>393</v>
      </c>
    </row>
    <row r="156" spans="1:11" ht="15" hidden="1" customHeight="1" outlineLevel="1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ht="15" hidden="1" customHeight="1" outlineLevel="1">
      <c r="A157">
        <v>5</v>
      </c>
      <c r="B157">
        <v>0.355956543071071</v>
      </c>
      <c r="C157">
        <v>0.355956543071071</v>
      </c>
      <c r="D157">
        <v>0.355956543071071</v>
      </c>
      <c r="E157">
        <v>0.355956543071071</v>
      </c>
      <c r="F157">
        <v>0.355956543071071</v>
      </c>
      <c r="G157">
        <v>0.355956543071071</v>
      </c>
      <c r="H157">
        <v>0.355956543071071</v>
      </c>
      <c r="I157">
        <v>0.355956543071071</v>
      </c>
      <c r="J157">
        <v>0.355956543071071</v>
      </c>
      <c r="K157">
        <v>0.355956543071071</v>
      </c>
    </row>
    <row r="158" spans="1:11" ht="15" hidden="1" customHeight="1" outlineLevel="1">
      <c r="A158">
        <v>10</v>
      </c>
      <c r="B158">
        <v>0.71191308614214277</v>
      </c>
      <c r="C158">
        <v>0.71191308614214277</v>
      </c>
      <c r="D158">
        <v>0.71191308614214277</v>
      </c>
      <c r="E158">
        <v>0.71191308614214277</v>
      </c>
      <c r="F158">
        <v>0.71191308614214277</v>
      </c>
      <c r="G158">
        <v>0.71191308614214277</v>
      </c>
      <c r="H158">
        <v>0.71191308614214277</v>
      </c>
      <c r="I158">
        <v>0.71191308614214277</v>
      </c>
      <c r="J158">
        <v>0.71191308614214277</v>
      </c>
      <c r="K158">
        <v>0.71191308614214277</v>
      </c>
    </row>
    <row r="159" spans="1:11" ht="15" hidden="1" customHeight="1" outlineLevel="1">
      <c r="A159" s="188">
        <v>15</v>
      </c>
      <c r="B159">
        <v>1.0678696292132142</v>
      </c>
      <c r="C159">
        <v>1.0678696292132142</v>
      </c>
      <c r="D159">
        <v>1.0678696292132142</v>
      </c>
      <c r="E159">
        <v>1.0678696292132142</v>
      </c>
      <c r="F159">
        <v>1.0678696292132142</v>
      </c>
      <c r="G159">
        <v>1.0678696292132142</v>
      </c>
      <c r="H159">
        <v>1.0678696292132142</v>
      </c>
      <c r="I159">
        <v>1.0678696292132142</v>
      </c>
      <c r="J159">
        <v>1.0678696292132142</v>
      </c>
      <c r="K159">
        <v>1.0678696292132142</v>
      </c>
    </row>
    <row r="160" spans="1:11" ht="15" hidden="1" customHeight="1" outlineLevel="1">
      <c r="A160" s="267">
        <v>20</v>
      </c>
      <c r="B160">
        <v>1.4238261722842855</v>
      </c>
      <c r="C160">
        <v>1.4238261722842855</v>
      </c>
      <c r="D160">
        <v>1.4238261722842855</v>
      </c>
      <c r="E160">
        <v>1.4238261722842855</v>
      </c>
      <c r="F160">
        <v>1.4238261722842855</v>
      </c>
      <c r="G160">
        <v>1.4238261722842855</v>
      </c>
      <c r="H160">
        <v>1.4238261722842855</v>
      </c>
      <c r="I160">
        <v>1.4238261722842855</v>
      </c>
      <c r="J160">
        <v>1.4238261722842855</v>
      </c>
      <c r="K160">
        <v>1.4238261722842855</v>
      </c>
    </row>
    <row r="161" spans="1:11" ht="15" hidden="1" customHeight="1" outlineLevel="1">
      <c r="A161" s="267">
        <v>25</v>
      </c>
      <c r="B161">
        <v>1.7797827153553569</v>
      </c>
      <c r="C161">
        <v>1.7797827153553569</v>
      </c>
      <c r="D161">
        <v>1.7797827153553569</v>
      </c>
      <c r="E161">
        <v>1.7797827153553569</v>
      </c>
      <c r="F161">
        <v>1.7797827153553569</v>
      </c>
      <c r="G161">
        <v>1.7797827153553569</v>
      </c>
      <c r="H161">
        <v>1.7797827153553569</v>
      </c>
      <c r="I161">
        <v>1.7797827153553569</v>
      </c>
      <c r="J161">
        <v>1.7797827153553569</v>
      </c>
      <c r="K161">
        <v>1.7797827153553569</v>
      </c>
    </row>
    <row r="162" spans="1:11" ht="15" hidden="1" customHeight="1" outlineLevel="1">
      <c r="A162" s="267">
        <v>30</v>
      </c>
      <c r="B162">
        <v>2.1357392584264283</v>
      </c>
      <c r="C162">
        <v>2.1357392584264283</v>
      </c>
      <c r="D162">
        <v>2.1357392584264283</v>
      </c>
      <c r="E162">
        <v>2.1357392584264283</v>
      </c>
      <c r="F162">
        <v>2.1357392584264283</v>
      </c>
      <c r="G162">
        <v>2.1357392584264283</v>
      </c>
      <c r="H162">
        <v>2.1357392584264283</v>
      </c>
      <c r="I162">
        <v>2.1357392584264283</v>
      </c>
      <c r="J162">
        <v>2.1357392584264283</v>
      </c>
      <c r="K162">
        <v>2.1357392584264283</v>
      </c>
    </row>
    <row r="163" spans="1:11" ht="15" customHeight="1" collapsed="1">
      <c r="A163" s="269" t="s">
        <v>499</v>
      </c>
      <c r="B163" s="266">
        <f>AVERAGE(B164:B168)</f>
        <v>7.1191308614214271E-2</v>
      </c>
      <c r="C163" s="266">
        <f t="shared" ref="C163:I163" si="288">AVERAGE(C164:C168)</f>
        <v>7.1191308614214271E-2</v>
      </c>
      <c r="D163" s="266">
        <f t="shared" si="288"/>
        <v>7.1191308614214271E-2</v>
      </c>
      <c r="E163" s="266">
        <f t="shared" si="288"/>
        <v>7.1191308614214271E-2</v>
      </c>
      <c r="F163" s="266">
        <f t="shared" si="288"/>
        <v>7.1191308614214271E-2</v>
      </c>
      <c r="G163" s="266">
        <f t="shared" si="288"/>
        <v>7.1191308614214271E-2</v>
      </c>
      <c r="H163" s="266">
        <f t="shared" si="288"/>
        <v>7.1191308614214271E-2</v>
      </c>
      <c r="I163" s="266">
        <f t="shared" si="288"/>
        <v>7.1191308614214271E-2</v>
      </c>
      <c r="J163" s="266">
        <f t="shared" ref="J163" si="289">AVERAGE(J164:J168)</f>
        <v>7.1191308614214271E-2</v>
      </c>
      <c r="K163" s="266">
        <f t="shared" ref="K163" si="290">AVERAGE(K164:K168)</f>
        <v>7.1191308614214271E-2</v>
      </c>
    </row>
    <row r="164" spans="1:11" ht="15" hidden="1" customHeight="1" outlineLevel="1">
      <c r="A164">
        <v>0</v>
      </c>
      <c r="B164" s="266">
        <f t="shared" ref="B164:B168" si="291">(B157-B156)/($A157-$A156)</f>
        <v>7.1191308614214202E-2</v>
      </c>
      <c r="C164" s="266">
        <f t="shared" ref="C164:I164" si="292">(C157-C156)/($A157-$A156)</f>
        <v>7.1191308614214202E-2</v>
      </c>
      <c r="D164" s="266">
        <f t="shared" si="292"/>
        <v>7.1191308614214202E-2</v>
      </c>
      <c r="E164" s="266">
        <f t="shared" si="292"/>
        <v>7.1191308614214202E-2</v>
      </c>
      <c r="F164" s="266">
        <f t="shared" si="292"/>
        <v>7.1191308614214202E-2</v>
      </c>
      <c r="G164" s="266">
        <f t="shared" si="292"/>
        <v>7.1191308614214202E-2</v>
      </c>
      <c r="H164" s="266">
        <f t="shared" si="292"/>
        <v>7.1191308614214202E-2</v>
      </c>
      <c r="I164" s="266">
        <f t="shared" si="292"/>
        <v>7.1191308614214202E-2</v>
      </c>
      <c r="J164" s="266">
        <f t="shared" ref="J164:K164" si="293">(J157-J156)/($A157-$A156)</f>
        <v>7.1191308614214202E-2</v>
      </c>
      <c r="K164" s="266">
        <f t="shared" si="293"/>
        <v>7.1191308614214202E-2</v>
      </c>
    </row>
    <row r="165" spans="1:11" ht="15" hidden="1" customHeight="1" outlineLevel="1">
      <c r="A165">
        <v>5</v>
      </c>
      <c r="B165" s="266">
        <f t="shared" si="291"/>
        <v>7.1191308614214355E-2</v>
      </c>
      <c r="C165" s="266">
        <f t="shared" ref="C165:I165" si="294">(C158-C157)/($A158-$A157)</f>
        <v>7.1191308614214355E-2</v>
      </c>
      <c r="D165" s="266">
        <f t="shared" si="294"/>
        <v>7.1191308614214355E-2</v>
      </c>
      <c r="E165" s="266">
        <f t="shared" si="294"/>
        <v>7.1191308614214355E-2</v>
      </c>
      <c r="F165" s="266">
        <f t="shared" si="294"/>
        <v>7.1191308614214355E-2</v>
      </c>
      <c r="G165" s="266">
        <f t="shared" si="294"/>
        <v>7.1191308614214355E-2</v>
      </c>
      <c r="H165" s="266">
        <f t="shared" si="294"/>
        <v>7.1191308614214355E-2</v>
      </c>
      <c r="I165" s="266">
        <f t="shared" si="294"/>
        <v>7.1191308614214355E-2</v>
      </c>
      <c r="J165" s="266">
        <f t="shared" ref="J165:K165" si="295">(J158-J157)/($A158-$A157)</f>
        <v>7.1191308614214355E-2</v>
      </c>
      <c r="K165" s="266">
        <f t="shared" si="295"/>
        <v>7.1191308614214355E-2</v>
      </c>
    </row>
    <row r="166" spans="1:11" ht="15" hidden="1" customHeight="1" outlineLevel="1">
      <c r="A166">
        <v>10</v>
      </c>
      <c r="B166" s="266">
        <f t="shared" si="291"/>
        <v>7.1191308614214271E-2</v>
      </c>
      <c r="C166" s="266">
        <f t="shared" ref="C166:I166" si="296">(C159-C158)/($A159-$A158)</f>
        <v>7.1191308614214271E-2</v>
      </c>
      <c r="D166" s="266">
        <f t="shared" si="296"/>
        <v>7.1191308614214271E-2</v>
      </c>
      <c r="E166" s="266">
        <f t="shared" si="296"/>
        <v>7.1191308614214271E-2</v>
      </c>
      <c r="F166" s="266">
        <f t="shared" si="296"/>
        <v>7.1191308614214271E-2</v>
      </c>
      <c r="G166" s="266">
        <f t="shared" si="296"/>
        <v>7.1191308614214271E-2</v>
      </c>
      <c r="H166" s="266">
        <f t="shared" si="296"/>
        <v>7.1191308614214271E-2</v>
      </c>
      <c r="I166" s="266">
        <f t="shared" si="296"/>
        <v>7.1191308614214271E-2</v>
      </c>
      <c r="J166" s="266">
        <f t="shared" ref="J166:K166" si="297">(J159-J158)/($A159-$A158)</f>
        <v>7.1191308614214271E-2</v>
      </c>
      <c r="K166" s="266">
        <f t="shared" si="297"/>
        <v>7.1191308614214271E-2</v>
      </c>
    </row>
    <row r="167" spans="1:11" ht="15" hidden="1" customHeight="1" outlineLevel="1">
      <c r="A167">
        <v>15</v>
      </c>
      <c r="B167" s="266">
        <f t="shared" si="291"/>
        <v>7.1191308614214271E-2</v>
      </c>
      <c r="C167" s="266">
        <f t="shared" ref="C167:I167" si="298">(C160-C159)/($A160-$A159)</f>
        <v>7.1191308614214271E-2</v>
      </c>
      <c r="D167" s="266">
        <f t="shared" si="298"/>
        <v>7.1191308614214271E-2</v>
      </c>
      <c r="E167" s="266">
        <f t="shared" si="298"/>
        <v>7.1191308614214271E-2</v>
      </c>
      <c r="F167" s="266">
        <f t="shared" si="298"/>
        <v>7.1191308614214271E-2</v>
      </c>
      <c r="G167" s="266">
        <f t="shared" si="298"/>
        <v>7.1191308614214271E-2</v>
      </c>
      <c r="H167" s="266">
        <f t="shared" si="298"/>
        <v>7.1191308614214271E-2</v>
      </c>
      <c r="I167" s="266">
        <f t="shared" si="298"/>
        <v>7.1191308614214271E-2</v>
      </c>
      <c r="J167" s="266">
        <f t="shared" ref="J167:K167" si="299">(J160-J159)/($A160-$A159)</f>
        <v>7.1191308614214271E-2</v>
      </c>
      <c r="K167" s="266">
        <f t="shared" si="299"/>
        <v>7.1191308614214271E-2</v>
      </c>
    </row>
    <row r="168" spans="1:11" ht="15" hidden="1" customHeight="1" outlineLevel="1">
      <c r="A168">
        <v>20</v>
      </c>
      <c r="B168" s="266">
        <f t="shared" si="291"/>
        <v>7.1191308614214271E-2</v>
      </c>
      <c r="C168" s="266">
        <f t="shared" ref="C168:I168" si="300">(C161-C160)/($A161-$A160)</f>
        <v>7.1191308614214271E-2</v>
      </c>
      <c r="D168" s="266">
        <f t="shared" si="300"/>
        <v>7.1191308614214271E-2</v>
      </c>
      <c r="E168" s="266">
        <f t="shared" si="300"/>
        <v>7.1191308614214271E-2</v>
      </c>
      <c r="F168" s="266">
        <f t="shared" si="300"/>
        <v>7.1191308614214271E-2</v>
      </c>
      <c r="G168" s="266">
        <f t="shared" si="300"/>
        <v>7.1191308614214271E-2</v>
      </c>
      <c r="H168" s="266">
        <f t="shared" si="300"/>
        <v>7.1191308614214271E-2</v>
      </c>
      <c r="I168" s="266">
        <f t="shared" si="300"/>
        <v>7.1191308614214271E-2</v>
      </c>
      <c r="J168" s="266">
        <f t="shared" ref="J168:K168" si="301">(J161-J160)/($A161-$A160)</f>
        <v>7.1191308614214271E-2</v>
      </c>
      <c r="K168" s="266">
        <f t="shared" si="301"/>
        <v>7.1191308614214271E-2</v>
      </c>
    </row>
    <row r="169" spans="1:11" ht="15" customHeight="1" collapsed="1">
      <c r="A169" s="192"/>
    </row>
    <row r="170" spans="1:11" ht="15" customHeight="1">
      <c r="A170" s="276" t="s">
        <v>505</v>
      </c>
    </row>
    <row r="171" spans="1:11" ht="15" customHeight="1">
      <c r="A171" t="s">
        <v>535</v>
      </c>
    </row>
    <row r="172" spans="1:11" ht="15" customHeight="1" outlineLevel="1">
      <c r="A172">
        <v>0.06</v>
      </c>
      <c r="B172" s="266">
        <v>1.7811871342984904</v>
      </c>
      <c r="C172" s="266"/>
      <c r="D172" s="266"/>
      <c r="E172" s="266"/>
      <c r="F172" s="266"/>
      <c r="G172" s="266"/>
      <c r="H172" s="266"/>
      <c r="I172" s="266"/>
      <c r="J172" s="266"/>
      <c r="K172" s="266"/>
    </row>
    <row r="173" spans="1:11" ht="15" customHeight="1" outlineLevel="1">
      <c r="A173">
        <v>0.1</v>
      </c>
      <c r="B173" s="266">
        <v>1.7868999999999999</v>
      </c>
      <c r="C173" s="266"/>
      <c r="D173" s="266"/>
      <c r="E173" s="266"/>
      <c r="F173" s="266"/>
      <c r="G173" s="266"/>
      <c r="H173" s="266"/>
      <c r="I173" s="266"/>
      <c r="J173" s="266"/>
      <c r="K173" s="266"/>
    </row>
    <row r="174" spans="1:11" ht="15" customHeight="1" outlineLevel="1">
      <c r="A174">
        <v>0.3</v>
      </c>
      <c r="B174" s="266">
        <v>1.8637999999999999</v>
      </c>
      <c r="C174" s="266"/>
      <c r="D174" s="266"/>
      <c r="E174" s="266"/>
      <c r="F174" s="266"/>
      <c r="G174" s="266"/>
      <c r="H174" s="266"/>
      <c r="I174" s="266"/>
      <c r="J174" s="266"/>
      <c r="K174" s="266"/>
    </row>
    <row r="175" spans="1:11" ht="15" customHeight="1" outlineLevel="1">
      <c r="A175">
        <v>0.5</v>
      </c>
      <c r="B175" s="266">
        <v>2.0529999999999999</v>
      </c>
      <c r="C175" s="266"/>
      <c r="D175" s="266"/>
      <c r="E175" s="266"/>
      <c r="F175" s="266"/>
      <c r="G175" s="266"/>
      <c r="H175" s="266"/>
      <c r="I175" s="266"/>
      <c r="J175" s="266"/>
      <c r="K175" s="266"/>
    </row>
    <row r="176" spans="1:11" ht="15" customHeight="1" outlineLevel="1">
      <c r="A176">
        <v>0.7</v>
      </c>
      <c r="B176" s="266">
        <v>2.4897</v>
      </c>
      <c r="C176" s="266"/>
      <c r="D176" s="266"/>
      <c r="E176" s="266"/>
      <c r="F176" s="266"/>
      <c r="G176" s="266"/>
      <c r="H176" s="266"/>
      <c r="I176" s="266"/>
      <c r="J176" s="266"/>
      <c r="K176" s="266"/>
    </row>
    <row r="177" spans="1:11" ht="15" customHeight="1" outlineLevel="1">
      <c r="A177">
        <v>1</v>
      </c>
      <c r="B177" s="266">
        <v>28.213824634343929</v>
      </c>
      <c r="C177" s="266"/>
      <c r="D177" s="266"/>
      <c r="E177" s="266"/>
      <c r="F177" s="266"/>
      <c r="G177" s="266"/>
      <c r="H177" s="266"/>
      <c r="I177" s="266"/>
      <c r="J177" s="266"/>
      <c r="K177" s="266"/>
    </row>
    <row r="178" spans="1:11" ht="15" customHeight="1" outlineLevel="1">
      <c r="A178">
        <v>1.5</v>
      </c>
      <c r="B178" s="266">
        <v>3.5777000000000001</v>
      </c>
      <c r="C178" s="266"/>
      <c r="D178" s="266"/>
      <c r="E178" s="266"/>
      <c r="F178" s="266"/>
      <c r="G178" s="266"/>
      <c r="H178" s="266"/>
      <c r="I178" s="266"/>
      <c r="J178" s="266"/>
      <c r="K178" s="266"/>
    </row>
    <row r="179" spans="1:11" ht="15" customHeight="1" outlineLevel="1">
      <c r="A179">
        <v>2</v>
      </c>
      <c r="B179" s="266">
        <v>2.3094000000000001</v>
      </c>
      <c r="C179" s="266"/>
      <c r="D179" s="266"/>
      <c r="E179" s="266"/>
      <c r="F179" s="266"/>
      <c r="G179" s="266"/>
      <c r="H179" s="266"/>
      <c r="I179" s="266"/>
      <c r="J179" s="266"/>
      <c r="K179" s="266"/>
    </row>
    <row r="180" spans="1:11" ht="15" customHeight="1" outlineLevel="1">
      <c r="A180">
        <v>3</v>
      </c>
      <c r="B180" s="266">
        <v>1.4141999999999999</v>
      </c>
      <c r="C180" s="266"/>
      <c r="D180" s="266"/>
      <c r="E180" s="266"/>
      <c r="F180" s="266"/>
      <c r="G180" s="266"/>
      <c r="H180" s="266"/>
      <c r="I180" s="266"/>
      <c r="J180" s="266"/>
      <c r="K180" s="266"/>
    </row>
    <row r="181" spans="1:11" ht="15" customHeight="1" outlineLevel="1">
      <c r="A181">
        <v>5</v>
      </c>
      <c r="B181" s="266">
        <v>0.8165</v>
      </c>
      <c r="C181" s="266"/>
      <c r="D181" s="266"/>
      <c r="E181" s="266"/>
      <c r="F181" s="266"/>
      <c r="G181" s="266"/>
      <c r="H181" s="266"/>
      <c r="I181" s="266"/>
      <c r="J181" s="266"/>
      <c r="K181" s="266"/>
    </row>
    <row r="183" spans="1:11" ht="15" customHeight="1">
      <c r="A183" s="286" t="s">
        <v>519</v>
      </c>
    </row>
    <row r="184" spans="1:11" ht="15" customHeight="1">
      <c r="A184" s="293" t="s">
        <v>520</v>
      </c>
    </row>
    <row r="185" spans="1:11" ht="15" customHeight="1">
      <c r="A185" t="s">
        <v>525</v>
      </c>
      <c r="B185" s="192">
        <f>IF(B6&lt;1,B93,B94)</f>
        <v>1.7811871342984904</v>
      </c>
      <c r="C185" s="192">
        <f t="shared" ref="C185:I185" si="302">IF(C6&lt;1,C93,C94)</f>
        <v>1.7869352319645568</v>
      </c>
      <c r="D185" s="192">
        <f t="shared" si="302"/>
        <v>1.8638274893064417</v>
      </c>
      <c r="E185" s="192">
        <f t="shared" si="302"/>
        <v>2.0530322770652725</v>
      </c>
      <c r="F185" s="192">
        <f t="shared" si="302"/>
        <v>2.4896673326889589</v>
      </c>
      <c r="G185" s="192">
        <f t="shared" si="302"/>
        <v>28.213824634343929</v>
      </c>
      <c r="H185" s="192">
        <f t="shared" si="302"/>
        <v>3.5777087639996634</v>
      </c>
      <c r="I185" s="192">
        <f t="shared" si="302"/>
        <v>2.3094010767585034</v>
      </c>
      <c r="J185" s="192">
        <f t="shared" ref="J185:K185" si="303">IF(J6&lt;1,J93,J94)</f>
        <v>1.4142135623730949</v>
      </c>
      <c r="K185" s="192">
        <f t="shared" si="303"/>
        <v>0.81649658092772615</v>
      </c>
    </row>
    <row r="186" spans="1:11" ht="15" customHeight="1">
      <c r="A186" t="s">
        <v>521</v>
      </c>
      <c r="B186" s="192">
        <v>1.5</v>
      </c>
      <c r="C186" s="192">
        <v>1.5</v>
      </c>
      <c r="D186" s="192">
        <v>1.5</v>
      </c>
      <c r="E186" s="192">
        <v>1.5</v>
      </c>
      <c r="F186" s="192">
        <v>1.5</v>
      </c>
      <c r="G186" s="192">
        <v>1.5</v>
      </c>
      <c r="H186" s="192">
        <v>1.5</v>
      </c>
      <c r="I186" s="192">
        <v>1.5</v>
      </c>
      <c r="J186" s="192">
        <v>1.5</v>
      </c>
      <c r="K186" s="192">
        <v>1.5</v>
      </c>
    </row>
    <row r="187" spans="1:11" ht="15" customHeight="1">
      <c r="A187" t="s">
        <v>522</v>
      </c>
      <c r="B187" s="192">
        <f>B34*B186</f>
        <v>0.1905</v>
      </c>
      <c r="C187" s="192">
        <f t="shared" ref="C187:I187" si="304">C34*C186</f>
        <v>0.1905</v>
      </c>
      <c r="D187" s="192">
        <f t="shared" si="304"/>
        <v>0.1905</v>
      </c>
      <c r="E187" s="192">
        <f t="shared" si="304"/>
        <v>0.1905</v>
      </c>
      <c r="F187" s="192">
        <f t="shared" si="304"/>
        <v>0.1905</v>
      </c>
      <c r="G187" s="192">
        <f t="shared" si="304"/>
        <v>0.1905</v>
      </c>
      <c r="H187" s="192">
        <f t="shared" si="304"/>
        <v>0.1905</v>
      </c>
      <c r="I187" s="192">
        <f t="shared" si="304"/>
        <v>0.1905</v>
      </c>
      <c r="J187" s="192">
        <f t="shared" ref="J187" si="305">J34*J186</f>
        <v>0.1905</v>
      </c>
      <c r="K187" s="192">
        <f t="shared" ref="K187" si="306">K34*K186</f>
        <v>0.1905</v>
      </c>
    </row>
    <row r="188" spans="1:11" ht="15" customHeight="1">
      <c r="A188" t="s">
        <v>526</v>
      </c>
      <c r="B188" s="290">
        <v>2</v>
      </c>
      <c r="C188" s="290">
        <v>2</v>
      </c>
      <c r="D188" s="290">
        <v>2</v>
      </c>
      <c r="E188" s="290">
        <v>2</v>
      </c>
      <c r="F188" s="290">
        <v>2</v>
      </c>
      <c r="G188" s="290">
        <v>2</v>
      </c>
      <c r="H188" s="290">
        <v>2</v>
      </c>
      <c r="I188" s="290">
        <v>2</v>
      </c>
      <c r="J188" s="290">
        <v>2</v>
      </c>
      <c r="K188" s="290">
        <v>2</v>
      </c>
    </row>
    <row r="189" spans="1:11" ht="15" hidden="1" customHeight="1" outlineLevel="1">
      <c r="A189">
        <v>0.1</v>
      </c>
      <c r="B189" s="192">
        <f t="shared" ref="B189:B197" si="307">ATAN((-B$187*$A189)/B$3)</f>
        <v>-9.6627024510746956E-4</v>
      </c>
      <c r="C189" s="192">
        <f t="shared" ref="C189:K189" si="308">ATAN((-C$187*$A189)/C$3)</f>
        <v>-5.5982271344528047E-4</v>
      </c>
      <c r="D189" s="192">
        <f t="shared" si="308"/>
        <v>-1.8660758847675079E-4</v>
      </c>
      <c r="E189" s="192">
        <f t="shared" si="308"/>
        <v>-1.1196455391781017E-4</v>
      </c>
      <c r="F189" s="192">
        <f t="shared" si="308"/>
        <v>-7.9974681533548906E-5</v>
      </c>
      <c r="G189" s="192">
        <f t="shared" si="308"/>
        <v>-5.5982277134354399E-5</v>
      </c>
      <c r="H189" s="192">
        <f t="shared" si="308"/>
        <v>-3.7321518111230009E-5</v>
      </c>
      <c r="I189" s="192">
        <f t="shared" si="308"/>
        <v>-2.7991138589108363E-5</v>
      </c>
      <c r="J189" s="192">
        <f t="shared" si="308"/>
        <v>-1.866075906211313E-5</v>
      </c>
      <c r="K189" s="192">
        <f t="shared" si="308"/>
        <v>-1.1196455438099635E-5</v>
      </c>
    </row>
    <row r="190" spans="1:11" ht="15" hidden="1" customHeight="1" outlineLevel="1">
      <c r="A190">
        <v>0.5</v>
      </c>
      <c r="B190" s="192">
        <f t="shared" si="307"/>
        <v>-4.8313151386112649E-3</v>
      </c>
      <c r="C190" s="192">
        <f t="shared" ref="C190:K197" si="309">ATAN((-C$187*$A190)/C$3)</f>
        <v>-2.7991065492880499E-3</v>
      </c>
      <c r="D190" s="192">
        <f t="shared" si="309"/>
        <v>-9.3303768245898153E-4</v>
      </c>
      <c r="E190" s="192">
        <f t="shared" si="309"/>
        <v>-5.5982271344528047E-4</v>
      </c>
      <c r="F190" s="192">
        <f t="shared" si="309"/>
        <v>-3.998733872071848E-4</v>
      </c>
      <c r="G190" s="192">
        <f t="shared" si="309"/>
        <v>-2.7991137865379965E-4</v>
      </c>
      <c r="H190" s="192">
        <f t="shared" si="309"/>
        <v>-1.8660758847675079E-4</v>
      </c>
      <c r="I190" s="192">
        <f t="shared" si="309"/>
        <v>-1.3995569206829523E-4</v>
      </c>
      <c r="J190" s="192">
        <f t="shared" si="309"/>
        <v>-9.3303795050640731E-5</v>
      </c>
      <c r="K190" s="192">
        <f t="shared" si="309"/>
        <v>-5.5982277134354392E-5</v>
      </c>
    </row>
    <row r="191" spans="1:11" ht="15" hidden="1" customHeight="1" outlineLevel="1">
      <c r="A191">
        <v>0.8</v>
      </c>
      <c r="B191" s="192">
        <f t="shared" si="307"/>
        <v>-7.7300103990814639E-3</v>
      </c>
      <c r="C191" s="192">
        <f t="shared" si="309"/>
        <v>-4.4785522324373196E-3</v>
      </c>
      <c r="D191" s="192">
        <f t="shared" si="309"/>
        <v>-1.4928596161308523E-3</v>
      </c>
      <c r="E191" s="192">
        <f t="shared" si="309"/>
        <v>-8.9571619553871517E-4</v>
      </c>
      <c r="F191" s="192">
        <f t="shared" si="309"/>
        <v>-6.3979736633405359E-4</v>
      </c>
      <c r="G191" s="192">
        <f t="shared" si="309"/>
        <v>-4.4785818759935362E-4</v>
      </c>
      <c r="H191" s="192">
        <f t="shared" si="309"/>
        <v>-2.9857213615636346E-4</v>
      </c>
      <c r="I191" s="192">
        <f t="shared" si="309"/>
        <v>-2.2392910502843136E-4</v>
      </c>
      <c r="J191" s="192">
        <f t="shared" si="309"/>
        <v>-1.4928607140522041E-4</v>
      </c>
      <c r="K191" s="192">
        <f t="shared" si="309"/>
        <v>-8.9571643268993208E-5</v>
      </c>
    </row>
    <row r="192" spans="1:11" ht="15" hidden="1" customHeight="1" outlineLevel="1">
      <c r="A192">
        <v>1</v>
      </c>
      <c r="B192" s="192">
        <f t="shared" si="307"/>
        <v>-9.66240474644239E-3</v>
      </c>
      <c r="C192" s="192">
        <f t="shared" si="309"/>
        <v>-5.598169237277917E-3</v>
      </c>
      <c r="D192" s="192">
        <f t="shared" si="309"/>
        <v>-1.8660737403914966E-3</v>
      </c>
      <c r="E192" s="192">
        <f t="shared" si="309"/>
        <v>-1.1196450759922577E-3</v>
      </c>
      <c r="F192" s="192">
        <f t="shared" si="309"/>
        <v>-7.9974664653592034E-4</v>
      </c>
      <c r="G192" s="192">
        <f t="shared" si="309"/>
        <v>-5.5982271344528047E-4</v>
      </c>
      <c r="H192" s="192">
        <f t="shared" si="309"/>
        <v>-3.7321516395725726E-4</v>
      </c>
      <c r="I192" s="192">
        <f t="shared" si="309"/>
        <v>-2.7991137865379965E-4</v>
      </c>
      <c r="J192" s="192">
        <f t="shared" si="309"/>
        <v>-1.8660758847675079E-4</v>
      </c>
      <c r="K192" s="192">
        <f t="shared" si="309"/>
        <v>-1.1196455391781015E-4</v>
      </c>
    </row>
    <row r="193" spans="1:11" ht="15" hidden="1" customHeight="1" outlineLevel="1">
      <c r="A193">
        <v>5</v>
      </c>
      <c r="B193" s="192">
        <f t="shared" si="307"/>
        <v>-4.8275988755673536E-2</v>
      </c>
      <c r="C193" s="192">
        <f t="shared" si="309"/>
        <v>-2.7983831642935584E-2</v>
      </c>
      <c r="D193" s="192">
        <f t="shared" si="309"/>
        <v>-9.3301087911630172E-3</v>
      </c>
      <c r="E193" s="192">
        <f t="shared" si="309"/>
        <v>-5.598169237277917E-3</v>
      </c>
      <c r="F193" s="192">
        <f t="shared" si="309"/>
        <v>-3.9987127723220472E-3</v>
      </c>
      <c r="G193" s="192">
        <f t="shared" si="309"/>
        <v>-2.7991065492880499E-3</v>
      </c>
      <c r="H193" s="192">
        <f t="shared" si="309"/>
        <v>-1.8660737403914968E-3</v>
      </c>
      <c r="I193" s="192">
        <f t="shared" si="309"/>
        <v>-1.3995560160234876E-3</v>
      </c>
      <c r="J193" s="192">
        <f t="shared" si="309"/>
        <v>-9.3303768245898164E-4</v>
      </c>
      <c r="K193" s="192">
        <f t="shared" si="309"/>
        <v>-5.5982271344528047E-4</v>
      </c>
    </row>
    <row r="194" spans="1:11" ht="15" hidden="1" customHeight="1" outlineLevel="1">
      <c r="A194">
        <v>10</v>
      </c>
      <c r="B194" s="192">
        <f t="shared" si="307"/>
        <v>-9.6327999369249143E-2</v>
      </c>
      <c r="C194" s="192">
        <f t="shared" si="309"/>
        <v>-5.5923903813893873E-2</v>
      </c>
      <c r="D194" s="192">
        <f t="shared" si="309"/>
        <v>-1.8658593475781412E-2</v>
      </c>
      <c r="E194" s="192">
        <f t="shared" si="309"/>
        <v>-1.1195987608911197E-2</v>
      </c>
      <c r="F194" s="192">
        <f t="shared" si="309"/>
        <v>-7.997297672267447E-3</v>
      </c>
      <c r="G194" s="192">
        <f t="shared" si="309"/>
        <v>-5.598169237277917E-3</v>
      </c>
      <c r="H194" s="192">
        <f t="shared" si="309"/>
        <v>-3.7321344846730871E-3</v>
      </c>
      <c r="I194" s="192">
        <f t="shared" si="309"/>
        <v>-2.7991065492880499E-3</v>
      </c>
      <c r="J194" s="192">
        <f t="shared" si="309"/>
        <v>-1.8660737403914968E-3</v>
      </c>
      <c r="K194" s="192">
        <f t="shared" si="309"/>
        <v>-1.1196450759922577E-3</v>
      </c>
    </row>
    <row r="195" spans="1:11" ht="15" hidden="1" customHeight="1" outlineLevel="1">
      <c r="A195">
        <v>20</v>
      </c>
      <c r="B195" s="192">
        <f t="shared" si="307"/>
        <v>-0.19090079198471077</v>
      </c>
      <c r="C195" s="192">
        <f t="shared" si="309"/>
        <v>-0.11150017744374538</v>
      </c>
      <c r="D195" s="192">
        <f t="shared" si="309"/>
        <v>-3.7304204268532669E-2</v>
      </c>
      <c r="E195" s="192">
        <f t="shared" si="309"/>
        <v>-2.2389169084092855E-2</v>
      </c>
      <c r="F195" s="192">
        <f t="shared" si="309"/>
        <v>-1.5993572512709234E-2</v>
      </c>
      <c r="G195" s="192">
        <f t="shared" si="309"/>
        <v>-1.1195987608911197E-2</v>
      </c>
      <c r="H195" s="192">
        <f t="shared" si="309"/>
        <v>-7.4641650037251834E-3</v>
      </c>
      <c r="I195" s="192">
        <f t="shared" si="309"/>
        <v>-5.598169237277917E-3</v>
      </c>
      <c r="J195" s="192">
        <f t="shared" si="309"/>
        <v>-3.7321344846730871E-3</v>
      </c>
      <c r="K195" s="192">
        <f t="shared" si="309"/>
        <v>-2.2392873448060071E-3</v>
      </c>
    </row>
    <row r="196" spans="1:11" ht="15" hidden="1" customHeight="1" outlineLevel="1">
      <c r="A196">
        <v>50</v>
      </c>
      <c r="B196" s="192">
        <f t="shared" si="307"/>
        <v>-0.45006503043680784</v>
      </c>
      <c r="C196" s="192">
        <f t="shared" si="309"/>
        <v>-0.2729265294271222</v>
      </c>
      <c r="D196" s="192">
        <f t="shared" si="309"/>
        <v>-9.3034445719270636E-2</v>
      </c>
      <c r="E196" s="192">
        <f t="shared" si="309"/>
        <v>-5.5923903813893873E-2</v>
      </c>
      <c r="F196" s="192">
        <f t="shared" si="309"/>
        <v>-3.9966048191208914E-2</v>
      </c>
      <c r="G196" s="192">
        <f t="shared" si="309"/>
        <v>-2.7983831642935584E-2</v>
      </c>
      <c r="H196" s="192">
        <f t="shared" si="309"/>
        <v>-1.8658593475781412E-2</v>
      </c>
      <c r="I196" s="192">
        <f t="shared" si="309"/>
        <v>-1.3994655607065129E-2</v>
      </c>
      <c r="J196" s="192">
        <f t="shared" si="309"/>
        <v>-9.3301087911630172E-3</v>
      </c>
      <c r="K196" s="192">
        <f t="shared" si="309"/>
        <v>-5.598169237277917E-3</v>
      </c>
    </row>
    <row r="197" spans="1:11" ht="15" hidden="1" customHeight="1" outlineLevel="1">
      <c r="A197">
        <v>100</v>
      </c>
      <c r="B197" s="192">
        <f t="shared" si="307"/>
        <v>-0.76824582065236424</v>
      </c>
      <c r="C197" s="192">
        <f t="shared" si="309"/>
        <v>-0.51035339388552659</v>
      </c>
      <c r="D197" s="192">
        <f t="shared" si="309"/>
        <v>-0.1844857097185201</v>
      </c>
      <c r="E197" s="192">
        <f t="shared" si="309"/>
        <v>-0.11150017744374538</v>
      </c>
      <c r="F197" s="192">
        <f t="shared" si="309"/>
        <v>-7.9804828372316464E-2</v>
      </c>
      <c r="G197" s="192">
        <f t="shared" si="309"/>
        <v>-5.5923903813893873E-2</v>
      </c>
      <c r="H197" s="192">
        <f t="shared" si="309"/>
        <v>-3.7304204268532669E-2</v>
      </c>
      <c r="I197" s="192">
        <f t="shared" si="309"/>
        <v>-2.7983831642935584E-2</v>
      </c>
      <c r="J197" s="192">
        <f t="shared" si="309"/>
        <v>-1.8658593475781412E-2</v>
      </c>
      <c r="K197" s="192">
        <f t="shared" si="309"/>
        <v>-1.1195987608911197E-2</v>
      </c>
    </row>
    <row r="198" spans="1:11" ht="15" customHeight="1" collapsed="1">
      <c r="A198" t="s">
        <v>527</v>
      </c>
    </row>
    <row r="199" spans="1:11" ht="15" hidden="1" customHeight="1" outlineLevel="1">
      <c r="A199">
        <v>0.1</v>
      </c>
      <c r="B199" s="192">
        <f>DEGREES(B189)</f>
        <v>-5.536320691372959E-2</v>
      </c>
      <c r="C199" s="192">
        <f t="shared" ref="C199:I199" si="310">DEGREES(C189)</f>
        <v>-3.2075478755976258E-2</v>
      </c>
      <c r="D199" s="192">
        <f t="shared" si="310"/>
        <v>-1.0691827244831914E-2</v>
      </c>
      <c r="E199" s="192">
        <f t="shared" si="310"/>
        <v>-6.4150963945554685E-3</v>
      </c>
      <c r="F199" s="192">
        <f t="shared" si="310"/>
        <v>-4.5822117197751944E-3</v>
      </c>
      <c r="G199" s="192">
        <f t="shared" si="310"/>
        <v>-3.20754820733024E-3</v>
      </c>
      <c r="H199" s="192">
        <f t="shared" si="310"/>
        <v>-2.1383654727945432E-3</v>
      </c>
      <c r="I199" s="192">
        <f t="shared" si="310"/>
        <v>-1.603774104921683E-3</v>
      </c>
      <c r="J199" s="192">
        <f t="shared" ref="J199:K199" si="311">DEGREES(J189)</f>
        <v>-1.0691827367695869E-3</v>
      </c>
      <c r="K199" s="192">
        <f t="shared" si="311"/>
        <v>-6.4150964210940825E-4</v>
      </c>
    </row>
    <row r="200" spans="1:11" ht="15" hidden="1" customHeight="1" outlineLevel="1">
      <c r="A200">
        <v>0.5</v>
      </c>
      <c r="B200" s="192">
        <f t="shared" ref="B200" si="312">DEGREES(B190)</f>
        <v>-0.27681396694008781</v>
      </c>
      <c r="C200" s="192">
        <f t="shared" ref="C200:I200" si="313">DEGREES(C190)</f>
        <v>-0.1603769916816328</v>
      </c>
      <c r="D200" s="192">
        <f t="shared" si="313"/>
        <v>-5.3459121331567126E-2</v>
      </c>
      <c r="E200" s="192">
        <f t="shared" si="313"/>
        <v>-3.2075478755976258E-2</v>
      </c>
      <c r="F200" s="192">
        <f t="shared" si="313"/>
        <v>-2.2911057426572255E-2</v>
      </c>
      <c r="G200" s="192">
        <f t="shared" si="313"/>
        <v>-1.6037740634551004E-2</v>
      </c>
      <c r="H200" s="192">
        <f t="shared" si="313"/>
        <v>-1.0691827244831914E-2</v>
      </c>
      <c r="I200" s="192">
        <f t="shared" si="313"/>
        <v>-8.0188704743458881E-3</v>
      </c>
      <c r="J200" s="192">
        <f t="shared" ref="J200:K200" si="314">DEGREES(J190)</f>
        <v>-5.3459136689553328E-3</v>
      </c>
      <c r="K200" s="192">
        <f t="shared" si="314"/>
        <v>-3.2075482073302395E-3</v>
      </c>
    </row>
    <row r="201" spans="1:11" ht="15" hidden="1" customHeight="1" outlineLevel="1">
      <c r="A201">
        <v>0.8</v>
      </c>
      <c r="B201" s="192">
        <f t="shared" ref="B201" si="315">DEGREES(B191)</f>
        <v>-0.44289697145960505</v>
      </c>
      <c r="C201" s="192">
        <f t="shared" ref="C201:I201" si="316">DEGREES(C191)</f>
        <v>-0.25660214124755126</v>
      </c>
      <c r="D201" s="192">
        <f t="shared" si="316"/>
        <v>-8.5534555409818025E-2</v>
      </c>
      <c r="E201" s="192">
        <f t="shared" si="316"/>
        <v>-5.1320757645883154E-2</v>
      </c>
      <c r="F201" s="192">
        <f t="shared" si="316"/>
        <v>-3.6657688834526692E-2</v>
      </c>
      <c r="G201" s="192">
        <f t="shared" si="316"/>
        <v>-2.5660383969821225E-2</v>
      </c>
      <c r="H201" s="192">
        <f t="shared" si="316"/>
        <v>-1.7106923281964996E-2</v>
      </c>
      <c r="I201" s="192">
        <f t="shared" si="316"/>
        <v>-1.2830192628270858E-2</v>
      </c>
      <c r="J201" s="192">
        <f t="shared" ref="J201:K201" si="317">DEGREES(J191)</f>
        <v>-8.5534618316077723E-3</v>
      </c>
      <c r="K201" s="192">
        <f t="shared" si="317"/>
        <v>-5.1320771233646992E-3</v>
      </c>
    </row>
    <row r="202" spans="1:11" ht="15" hidden="1" customHeight="1" outlineLevel="1">
      <c r="A202">
        <v>1</v>
      </c>
      <c r="B202" s="192">
        <f t="shared" ref="B202" si="318">DEGREES(B192)</f>
        <v>-0.5536150119183233</v>
      </c>
      <c r="C202" s="192">
        <f t="shared" ref="C202:I202" si="319">DEGREES(C192)</f>
        <v>-0.32075147029599577</v>
      </c>
      <c r="D202" s="192">
        <f t="shared" si="319"/>
        <v>-0.10691814958462401</v>
      </c>
      <c r="E202" s="192">
        <f t="shared" si="319"/>
        <v>-6.4150937406960692E-2</v>
      </c>
      <c r="F202" s="192">
        <f t="shared" si="319"/>
        <v>-4.5822107526249073E-2</v>
      </c>
      <c r="G202" s="192">
        <f t="shared" si="319"/>
        <v>-3.2075478755976258E-2</v>
      </c>
      <c r="H202" s="192">
        <f t="shared" si="319"/>
        <v>-2.1383653745033881E-2</v>
      </c>
      <c r="I202" s="192">
        <f t="shared" si="319"/>
        <v>-1.6037740634551004E-2</v>
      </c>
      <c r="J202" s="192">
        <f t="shared" ref="J202:K202" si="320">DEGREES(J192)</f>
        <v>-1.0691827244831914E-2</v>
      </c>
      <c r="K202" s="192">
        <f t="shared" si="320"/>
        <v>-6.4150963945554685E-3</v>
      </c>
    </row>
    <row r="203" spans="1:11" ht="15" hidden="1" customHeight="1" outlineLevel="1">
      <c r="A203">
        <v>5</v>
      </c>
      <c r="B203" s="192">
        <f t="shared" ref="B203" si="321">DEGREES(B193)</f>
        <v>-2.7660104075211125</v>
      </c>
      <c r="C203" s="192">
        <f t="shared" ref="C203:I203" si="322">DEGREES(C193)</f>
        <v>-1.6033554477448535</v>
      </c>
      <c r="D203" s="192">
        <f t="shared" si="322"/>
        <v>-0.53457585613154723</v>
      </c>
      <c r="E203" s="192">
        <f t="shared" si="322"/>
        <v>-0.32075147029599577</v>
      </c>
      <c r="F203" s="192">
        <f t="shared" si="322"/>
        <v>-0.22910936533911017</v>
      </c>
      <c r="G203" s="192">
        <f t="shared" si="322"/>
        <v>-0.1603769916816328</v>
      </c>
      <c r="H203" s="192">
        <f t="shared" si="322"/>
        <v>-0.10691814958462402</v>
      </c>
      <c r="I203" s="192">
        <f t="shared" si="322"/>
        <v>-8.0188652910289662E-2</v>
      </c>
      <c r="J203" s="192">
        <f t="shared" ref="J203:K203" si="323">DEGREES(J193)</f>
        <v>-5.3459121331567133E-2</v>
      </c>
      <c r="K203" s="192">
        <f t="shared" si="323"/>
        <v>-3.2075478755976258E-2</v>
      </c>
    </row>
    <row r="204" spans="1:11" ht="15" hidden="1" customHeight="1" outlineLevel="1">
      <c r="A204">
        <v>10</v>
      </c>
      <c r="B204" s="192">
        <f t="shared" ref="B204" si="324">DEGREES(B194)</f>
        <v>-5.5191878127968321</v>
      </c>
      <c r="C204" s="192">
        <f t="shared" ref="C204:I204" si="325">DEGREES(C194)</f>
        <v>-3.204203662431687</v>
      </c>
      <c r="D204" s="192">
        <f t="shared" si="325"/>
        <v>-1.069058657812608</v>
      </c>
      <c r="E204" s="192">
        <f t="shared" si="325"/>
        <v>-0.64148283747137769</v>
      </c>
      <c r="F204" s="192">
        <f t="shared" si="325"/>
        <v>-0.45821140413072214</v>
      </c>
      <c r="G204" s="192">
        <f t="shared" si="325"/>
        <v>-0.32075147029599577</v>
      </c>
      <c r="H204" s="192">
        <f t="shared" si="325"/>
        <v>-0.21383555454700032</v>
      </c>
      <c r="I204" s="192">
        <f t="shared" si="325"/>
        <v>-0.1603769916816328</v>
      </c>
      <c r="J204" s="192">
        <f t="shared" ref="J204:K204" si="326">DEGREES(J194)</f>
        <v>-0.10691814958462402</v>
      </c>
      <c r="K204" s="192">
        <f t="shared" si="326"/>
        <v>-6.4150937406960692E-2</v>
      </c>
    </row>
    <row r="205" spans="1:11" ht="15" hidden="1" customHeight="1" outlineLevel="1">
      <c r="A205">
        <v>20</v>
      </c>
      <c r="B205" s="192">
        <f t="shared" ref="B205" si="327">DEGREES(B195)</f>
        <v>-10.937809686428782</v>
      </c>
      <c r="C205" s="192">
        <f t="shared" ref="C205:I205" si="328">DEGREES(C195)</f>
        <v>-6.3884895824863905</v>
      </c>
      <c r="D205" s="192">
        <f t="shared" si="328"/>
        <v>-2.1373734626808321</v>
      </c>
      <c r="E205" s="192">
        <f t="shared" si="328"/>
        <v>-1.2828048953233036</v>
      </c>
      <c r="F205" s="192">
        <f t="shared" si="328"/>
        <v>-0.91636420431468224</v>
      </c>
      <c r="G205" s="192">
        <f t="shared" si="328"/>
        <v>-0.64148283747137769</v>
      </c>
      <c r="H205" s="192">
        <f t="shared" si="328"/>
        <v>-0.42766515230270341</v>
      </c>
      <c r="I205" s="192">
        <f t="shared" si="328"/>
        <v>-0.32075147029599577</v>
      </c>
      <c r="J205" s="192">
        <f t="shared" ref="J205:K205" si="329">DEGREES(J195)</f>
        <v>-0.21383555454700032</v>
      </c>
      <c r="K205" s="192">
        <f t="shared" si="329"/>
        <v>-0.12830171397444054</v>
      </c>
    </row>
    <row r="206" spans="1:11" ht="15" hidden="1" customHeight="1" outlineLevel="1">
      <c r="A206">
        <v>50</v>
      </c>
      <c r="B206" s="192">
        <f t="shared" ref="B206" si="330">DEGREES(B196)</f>
        <v>-25.786826750456026</v>
      </c>
      <c r="C206" s="192">
        <f t="shared" ref="C206:I206" si="331">DEGREES(C196)</f>
        <v>-15.637538253327168</v>
      </c>
      <c r="D206" s="192">
        <f t="shared" si="331"/>
        <v>-5.3304810890531558</v>
      </c>
      <c r="E206" s="192">
        <f t="shared" si="331"/>
        <v>-3.204203662431687</v>
      </c>
      <c r="F206" s="192">
        <f t="shared" si="331"/>
        <v>-2.2898858851727284</v>
      </c>
      <c r="G206" s="192">
        <f t="shared" si="331"/>
        <v>-1.6033554477448535</v>
      </c>
      <c r="H206" s="192">
        <f t="shared" si="331"/>
        <v>-1.069058657812608</v>
      </c>
      <c r="I206" s="192">
        <f t="shared" si="331"/>
        <v>-0.80183470202392493</v>
      </c>
      <c r="J206" s="192">
        <f t="shared" ref="J206:K206" si="332">DEGREES(J196)</f>
        <v>-0.53457585613154723</v>
      </c>
      <c r="K206" s="192">
        <f t="shared" si="332"/>
        <v>-0.32075147029599577</v>
      </c>
    </row>
    <row r="207" spans="1:11" ht="15" hidden="1" customHeight="1" outlineLevel="1">
      <c r="A207">
        <v>100</v>
      </c>
      <c r="B207" s="192">
        <f t="shared" ref="B207" si="333">DEGREES(B197)</f>
        <v>-44.017243151944847</v>
      </c>
      <c r="C207" s="192">
        <f t="shared" ref="C207:I207" si="334">DEGREES(C197)</f>
        <v>-29.241095529818388</v>
      </c>
      <c r="D207" s="192">
        <f t="shared" si="334"/>
        <v>-10.570252547346836</v>
      </c>
      <c r="E207" s="192">
        <f t="shared" si="334"/>
        <v>-6.3884895824863905</v>
      </c>
      <c r="F207" s="192">
        <f t="shared" si="334"/>
        <v>-4.5724798504996205</v>
      </c>
      <c r="G207" s="192">
        <f t="shared" si="334"/>
        <v>-3.204203662431687</v>
      </c>
      <c r="H207" s="192">
        <f t="shared" si="334"/>
        <v>-2.1373734626808321</v>
      </c>
      <c r="I207" s="192">
        <f t="shared" si="334"/>
        <v>-1.6033554477448535</v>
      </c>
      <c r="J207" s="192">
        <f t="shared" ref="J207:K207" si="335">DEGREES(J197)</f>
        <v>-1.069058657812608</v>
      </c>
      <c r="K207" s="192">
        <f t="shared" si="335"/>
        <v>-0.64148283747137769</v>
      </c>
    </row>
    <row r="208" spans="1:11" ht="15" customHeight="1" collapsed="1"/>
    <row r="209" spans="1:11" ht="15" customHeight="1">
      <c r="A209" t="s">
        <v>524</v>
      </c>
      <c r="B209" s="192">
        <v>20</v>
      </c>
      <c r="C209" s="192">
        <v>20</v>
      </c>
      <c r="D209" s="192">
        <v>20</v>
      </c>
      <c r="E209" s="192">
        <v>20</v>
      </c>
      <c r="F209" s="192">
        <v>20</v>
      </c>
      <c r="G209" s="192">
        <v>20</v>
      </c>
      <c r="H209" s="192">
        <v>20</v>
      </c>
      <c r="I209" s="192">
        <v>20</v>
      </c>
      <c r="J209" s="192">
        <v>20</v>
      </c>
      <c r="K209" s="192">
        <v>20</v>
      </c>
    </row>
    <row r="210" spans="1:11" ht="15" customHeight="1">
      <c r="A210" t="s">
        <v>533</v>
      </c>
      <c r="B210" s="192">
        <f>B$185*VLOOKUP(B$209,$A$189:B$197,B$188,FALSE)</f>
        <v>-0.3400300346105592</v>
      </c>
      <c r="C210" s="192">
        <f>C$185*VLOOKUP(C$209,$A$189:C$197,C$188,FALSE)</f>
        <v>-0.34112735100741676</v>
      </c>
      <c r="D210" s="192">
        <f>D$185*VLOOKUP(D$209,$A$189:D$197,D$188,FALSE)</f>
        <v>-0.35580614383147474</v>
      </c>
      <c r="E210" s="192">
        <f>E$185*VLOOKUP(E$209,$A$189:E$197,E$188,FALSE)</f>
        <v>-0.39192548766193469</v>
      </c>
      <c r="F210" s="192">
        <f>F$185*VLOOKUP(F$209,$A$189:F$197,F$188,FALSE)</f>
        <v>-0.47527946558878464</v>
      </c>
      <c r="G210" s="192">
        <f>G$185*VLOOKUP(G$209,$A$189:G$197,G$188,FALSE)</f>
        <v>-5.3860414676139987</v>
      </c>
      <c r="H210" s="192">
        <f>H$185*VLOOKUP(H$209,$A$189:H$197,H$188,FALSE)</f>
        <v>-0.6829874365381764</v>
      </c>
      <c r="I210" s="192">
        <f>I$185*VLOOKUP(I$209,$A$189:I$197,I$188,FALSE)</f>
        <v>-0.4408664945635421</v>
      </c>
      <c r="J210" s="192">
        <f>J$185*VLOOKUP(J$209,$A$189:J$197,J$188,FALSE)</f>
        <v>-0.26997448909254301</v>
      </c>
      <c r="K210" s="192">
        <f>K$185*VLOOKUP(K$209,$A$189:K$197,K$188,FALSE)</f>
        <v>-0.15586984395191142</v>
      </c>
    </row>
    <row r="211" spans="1:11" ht="15" customHeight="1">
      <c r="A211" t="s">
        <v>391</v>
      </c>
    </row>
    <row r="212" spans="1:11" ht="15" hidden="1" customHeight="1" outlineLevel="1">
      <c r="A212">
        <v>1</v>
      </c>
      <c r="B212" s="192">
        <f t="shared" ref="B212:B221" si="336">B$29*(B81)*B$210</f>
        <v>-0.17195955887356679</v>
      </c>
      <c r="C212" s="192">
        <f t="shared" ref="C212:I212" si="337">C$29*(C81)*C$210</f>
        <v>-0.48087090759721729</v>
      </c>
      <c r="D212" s="192">
        <f t="shared" si="337"/>
        <v>-4.5140660966311259</v>
      </c>
      <c r="E212" s="192">
        <f t="shared" si="337"/>
        <v>-13.811965267949075</v>
      </c>
      <c r="F212" s="192">
        <f t="shared" si="337"/>
        <v>-32.828957566573074</v>
      </c>
      <c r="G212" s="192">
        <f t="shared" si="337"/>
        <v>-759.24449952166992</v>
      </c>
      <c r="H212" s="192">
        <f t="shared" si="337"/>
        <v>-216.62431109974389</v>
      </c>
      <c r="I212" s="192">
        <f t="shared" si="337"/>
        <v>-248.58736274754455</v>
      </c>
      <c r="J212" s="192">
        <f t="shared" ref="J212:K212" si="338">J$29*(J81)*J$210</f>
        <v>-342.51310982004264</v>
      </c>
      <c r="K212" s="192">
        <f t="shared" si="338"/>
        <v>-549.30565598771534</v>
      </c>
    </row>
    <row r="213" spans="1:11" ht="15" hidden="1" customHeight="1" outlineLevel="1">
      <c r="A213">
        <v>2</v>
      </c>
      <c r="B213" s="192">
        <f t="shared" si="336"/>
        <v>-0.16658582265876787</v>
      </c>
      <c r="C213" s="192">
        <f t="shared" ref="C213:I213" si="339">C$29*(C82)*C$210</f>
        <v>-0.46584369173480439</v>
      </c>
      <c r="D213" s="192">
        <f t="shared" si="339"/>
        <v>-4.3730015311114041</v>
      </c>
      <c r="E213" s="192">
        <f t="shared" si="339"/>
        <v>-13.380341353325669</v>
      </c>
      <c r="F213" s="192">
        <f t="shared" si="339"/>
        <v>-31.803052642617672</v>
      </c>
      <c r="G213" s="192">
        <f t="shared" si="339"/>
        <v>-735.5181089116179</v>
      </c>
      <c r="H213" s="192">
        <f t="shared" si="339"/>
        <v>-209.85480137787698</v>
      </c>
      <c r="I213" s="192">
        <f t="shared" si="339"/>
        <v>-240.8190076616838</v>
      </c>
      <c r="J213" s="192">
        <f t="shared" ref="J213:K213" si="340">J$29*(J82)*J$210</f>
        <v>-331.80957513816639</v>
      </c>
      <c r="K213" s="192">
        <f t="shared" si="340"/>
        <v>-532.13985423809936</v>
      </c>
    </row>
    <row r="214" spans="1:11" ht="15" hidden="1" customHeight="1" outlineLevel="1">
      <c r="A214">
        <v>3</v>
      </c>
      <c r="B214" s="192">
        <f t="shared" si="336"/>
        <v>-0.16121208644396887</v>
      </c>
      <c r="C214" s="192">
        <f t="shared" ref="C214:I214" si="341">C$29*(C83)*C$210</f>
        <v>-0.45081647587239121</v>
      </c>
      <c r="D214" s="192">
        <f t="shared" si="341"/>
        <v>-4.2319369655916805</v>
      </c>
      <c r="E214" s="192">
        <f t="shared" si="341"/>
        <v>-12.948717438702259</v>
      </c>
      <c r="F214" s="192">
        <f t="shared" si="341"/>
        <v>-30.77714771866226</v>
      </c>
      <c r="G214" s="192">
        <f t="shared" si="341"/>
        <v>-711.79171830156565</v>
      </c>
      <c r="H214" s="192">
        <f t="shared" si="341"/>
        <v>-203.08529165600993</v>
      </c>
      <c r="I214" s="192">
        <f t="shared" si="341"/>
        <v>-233.05065257582302</v>
      </c>
      <c r="J214" s="192">
        <f t="shared" ref="J214:K214" si="342">J$29*(J83)*J$210</f>
        <v>-321.10604045628997</v>
      </c>
      <c r="K214" s="192">
        <f t="shared" si="342"/>
        <v>-514.97405248848315</v>
      </c>
    </row>
    <row r="215" spans="1:11" ht="15" hidden="1" customHeight="1" outlineLevel="1">
      <c r="A215">
        <v>4</v>
      </c>
      <c r="B215" s="192">
        <f t="shared" si="336"/>
        <v>-0.15583835022916995</v>
      </c>
      <c r="C215" s="192">
        <f t="shared" ref="C215:I215" si="343">C$29*(C84)*C$210</f>
        <v>-0.43578926000997831</v>
      </c>
      <c r="D215" s="192">
        <f t="shared" si="343"/>
        <v>-4.0908724000719587</v>
      </c>
      <c r="E215" s="192">
        <f t="shared" si="343"/>
        <v>-12.517093524078852</v>
      </c>
      <c r="F215" s="192">
        <f t="shared" si="343"/>
        <v>-29.751242794706858</v>
      </c>
      <c r="G215" s="192">
        <f t="shared" si="343"/>
        <v>-688.06532769151352</v>
      </c>
      <c r="H215" s="192">
        <f t="shared" si="343"/>
        <v>-196.31578193414296</v>
      </c>
      <c r="I215" s="192">
        <f t="shared" si="343"/>
        <v>-225.28229748996227</v>
      </c>
      <c r="J215" s="192">
        <f t="shared" ref="J215:K215" si="344">J$29*(J84)*J$210</f>
        <v>-310.40250577441373</v>
      </c>
      <c r="K215" s="192">
        <f t="shared" si="344"/>
        <v>-497.80825073886717</v>
      </c>
    </row>
    <row r="216" spans="1:11" ht="15" hidden="1" customHeight="1" outlineLevel="1">
      <c r="A216">
        <v>5</v>
      </c>
      <c r="B216" s="192">
        <f t="shared" si="336"/>
        <v>-0.15046461401437095</v>
      </c>
      <c r="C216" s="192">
        <f t="shared" ref="C216:I216" si="345">C$29*(C85)*C$210</f>
        <v>-0.42076204414756513</v>
      </c>
      <c r="D216" s="192">
        <f t="shared" si="345"/>
        <v>-3.9498078345522356</v>
      </c>
      <c r="E216" s="192">
        <f t="shared" si="345"/>
        <v>-12.085469609455441</v>
      </c>
      <c r="F216" s="192">
        <f t="shared" si="345"/>
        <v>-28.725337870751442</v>
      </c>
      <c r="G216" s="192">
        <f t="shared" si="345"/>
        <v>-664.33893708146115</v>
      </c>
      <c r="H216" s="192">
        <f t="shared" si="345"/>
        <v>-189.54627221227591</v>
      </c>
      <c r="I216" s="192">
        <f t="shared" si="345"/>
        <v>-217.51394240410147</v>
      </c>
      <c r="J216" s="192">
        <f t="shared" ref="J216:K216" si="346">J$29*(J85)*J$210</f>
        <v>-299.69897109253731</v>
      </c>
      <c r="K216" s="192">
        <f t="shared" si="346"/>
        <v>-480.64244898925097</v>
      </c>
    </row>
    <row r="217" spans="1:11" ht="15" hidden="1" customHeight="1" outlineLevel="1">
      <c r="A217">
        <v>6</v>
      </c>
      <c r="B217" s="192">
        <f t="shared" si="336"/>
        <v>-0.145090877799572</v>
      </c>
      <c r="C217" s="192">
        <f t="shared" ref="C217:I217" si="347">C$29*(C86)*C$210</f>
        <v>-0.40573482828515217</v>
      </c>
      <c r="D217" s="192">
        <f t="shared" si="347"/>
        <v>-3.8087432690325129</v>
      </c>
      <c r="E217" s="192">
        <f t="shared" si="347"/>
        <v>-11.653845694832032</v>
      </c>
      <c r="F217" s="192">
        <f t="shared" si="347"/>
        <v>-27.699432946796033</v>
      </c>
      <c r="G217" s="192">
        <f t="shared" si="347"/>
        <v>-640.61254647140902</v>
      </c>
      <c r="H217" s="192">
        <f t="shared" si="347"/>
        <v>-182.77676249040894</v>
      </c>
      <c r="I217" s="192">
        <f t="shared" si="347"/>
        <v>-209.74558731824072</v>
      </c>
      <c r="J217" s="192">
        <f t="shared" ref="J217:K217" si="348">J$29*(J86)*J$210</f>
        <v>-288.995436410661</v>
      </c>
      <c r="K217" s="192">
        <f t="shared" si="348"/>
        <v>-463.47664723963487</v>
      </c>
    </row>
    <row r="218" spans="1:11" ht="15" hidden="1" customHeight="1" outlineLevel="1">
      <c r="A218">
        <v>7</v>
      </c>
      <c r="B218" s="192">
        <f t="shared" si="336"/>
        <v>-0.13971714158477305</v>
      </c>
      <c r="C218" s="192">
        <f t="shared" ref="C218:I218" si="349">C$29*(C87)*C$210</f>
        <v>-0.3907076124227391</v>
      </c>
      <c r="D218" s="192">
        <f t="shared" si="349"/>
        <v>-3.6676787035127907</v>
      </c>
      <c r="E218" s="192">
        <f t="shared" si="349"/>
        <v>-11.222221780208624</v>
      </c>
      <c r="F218" s="192">
        <f t="shared" si="349"/>
        <v>-26.673528022840628</v>
      </c>
      <c r="G218" s="192">
        <f t="shared" si="349"/>
        <v>-616.886155861357</v>
      </c>
      <c r="H218" s="192">
        <f t="shared" si="349"/>
        <v>-176.00725276854192</v>
      </c>
      <c r="I218" s="192">
        <f t="shared" si="349"/>
        <v>-201.97723223237998</v>
      </c>
      <c r="J218" s="192">
        <f t="shared" ref="J218:K218" si="350">J$29*(J87)*J$210</f>
        <v>-278.29190172878464</v>
      </c>
      <c r="K218" s="192">
        <f t="shared" si="350"/>
        <v>-446.31084549001878</v>
      </c>
    </row>
    <row r="219" spans="1:11" ht="15" hidden="1" customHeight="1" outlineLevel="1">
      <c r="A219">
        <v>8</v>
      </c>
      <c r="B219" s="192">
        <f t="shared" si="336"/>
        <v>-0.13434340536997405</v>
      </c>
      <c r="C219" s="192">
        <f t="shared" ref="C219:I219" si="351">C$29*(C88)*C$210</f>
        <v>-0.37568039656032604</v>
      </c>
      <c r="D219" s="192">
        <f t="shared" si="351"/>
        <v>-3.5266141379930671</v>
      </c>
      <c r="E219" s="192">
        <f t="shared" si="351"/>
        <v>-10.790597865585216</v>
      </c>
      <c r="F219" s="192">
        <f t="shared" si="351"/>
        <v>-25.647623098885216</v>
      </c>
      <c r="G219" s="192">
        <f t="shared" si="351"/>
        <v>-593.15976525130475</v>
      </c>
      <c r="H219" s="192">
        <f t="shared" si="351"/>
        <v>-169.23774304667495</v>
      </c>
      <c r="I219" s="192">
        <f t="shared" si="351"/>
        <v>-194.2088771465192</v>
      </c>
      <c r="J219" s="192">
        <f t="shared" ref="J219:K219" si="352">J$29*(J88)*J$210</f>
        <v>-267.58836704690833</v>
      </c>
      <c r="K219" s="192">
        <f t="shared" si="352"/>
        <v>-429.14504374040268</v>
      </c>
    </row>
    <row r="220" spans="1:11" ht="15" hidden="1" customHeight="1" outlineLevel="1">
      <c r="A220">
        <v>9</v>
      </c>
      <c r="B220" s="192">
        <f t="shared" si="336"/>
        <v>-0.1289696691551751</v>
      </c>
      <c r="C220" s="192">
        <f t="shared" ref="C220:I220" si="353">C$29*(C89)*C$210</f>
        <v>-0.36065318069791302</v>
      </c>
      <c r="D220" s="192">
        <f t="shared" si="353"/>
        <v>-3.3855495724733449</v>
      </c>
      <c r="E220" s="192">
        <f t="shared" si="353"/>
        <v>-10.358973950961806</v>
      </c>
      <c r="F220" s="192">
        <f t="shared" si="353"/>
        <v>-24.621718174929811</v>
      </c>
      <c r="G220" s="192">
        <f t="shared" si="353"/>
        <v>-569.4333746412525</v>
      </c>
      <c r="H220" s="192">
        <f t="shared" si="353"/>
        <v>-162.46823332480795</v>
      </c>
      <c r="I220" s="192">
        <f t="shared" si="353"/>
        <v>-186.44052206065842</v>
      </c>
      <c r="J220" s="192">
        <f t="shared" ref="J220:K220" si="354">J$29*(J89)*J$210</f>
        <v>-256.88483236503203</v>
      </c>
      <c r="K220" s="192">
        <f t="shared" si="354"/>
        <v>-411.97924199078659</v>
      </c>
    </row>
    <row r="221" spans="1:11" ht="15" hidden="1" customHeight="1" outlineLevel="1">
      <c r="A221">
        <v>10</v>
      </c>
      <c r="B221" s="192">
        <f t="shared" si="336"/>
        <v>-0.12359593294037613</v>
      </c>
      <c r="C221" s="192">
        <f t="shared" ref="C221:I221" si="355">C$29*(C90)*C$210</f>
        <v>-0.34562596483549995</v>
      </c>
      <c r="D221" s="192">
        <f t="shared" si="355"/>
        <v>-3.2444850069536217</v>
      </c>
      <c r="E221" s="192">
        <f t="shared" si="355"/>
        <v>-9.9273500363383977</v>
      </c>
      <c r="F221" s="192">
        <f t="shared" si="355"/>
        <v>-23.595813250974398</v>
      </c>
      <c r="G221" s="192">
        <f t="shared" si="355"/>
        <v>-545.70698403120036</v>
      </c>
      <c r="H221" s="192">
        <f t="shared" si="355"/>
        <v>-155.69872360294093</v>
      </c>
      <c r="I221" s="192">
        <f t="shared" si="355"/>
        <v>-178.67216697479765</v>
      </c>
      <c r="J221" s="192">
        <f t="shared" ref="J221:K221" si="356">J$29*(J90)*J$210</f>
        <v>-246.18129768315566</v>
      </c>
      <c r="K221" s="192">
        <f t="shared" si="356"/>
        <v>-394.81344024117044</v>
      </c>
    </row>
    <row r="222" spans="1:11" ht="15" customHeight="1" collapsed="1">
      <c r="A222" t="s">
        <v>528</v>
      </c>
      <c r="B222" s="192">
        <f>SUM(B212:B221)</f>
        <v>-1.4777774590697148</v>
      </c>
      <c r="C222" s="192">
        <f t="shared" ref="C222:I222" si="357">SUM(C212:C221)</f>
        <v>-4.1324843621635861</v>
      </c>
      <c r="D222" s="192">
        <f t="shared" si="357"/>
        <v>-38.792755517923744</v>
      </c>
      <c r="E222" s="192">
        <f t="shared" si="357"/>
        <v>-118.69657652143738</v>
      </c>
      <c r="F222" s="192">
        <f t="shared" si="357"/>
        <v>-282.12385408773741</v>
      </c>
      <c r="G222" s="192">
        <f t="shared" si="357"/>
        <v>-6524.7574177643519</v>
      </c>
      <c r="H222" s="192">
        <f t="shared" si="357"/>
        <v>-1861.6151735134245</v>
      </c>
      <c r="I222" s="192">
        <f t="shared" si="357"/>
        <v>-2136.2976486117109</v>
      </c>
      <c r="J222" s="192">
        <f t="shared" ref="J222" si="358">SUM(J212:J221)</f>
        <v>-2943.4720375159918</v>
      </c>
      <c r="K222" s="192">
        <f t="shared" ref="K222" si="359">SUM(K212:K221)</f>
        <v>-4720.5954811444299</v>
      </c>
    </row>
    <row r="223" spans="1:11" ht="15" customHeight="1">
      <c r="A223" t="s">
        <v>529</v>
      </c>
      <c r="B223" s="192">
        <f>B222*B187</f>
        <v>-0.28151660595278066</v>
      </c>
      <c r="C223" s="192">
        <f t="shared" ref="C223:I223" si="360">C222*C187</f>
        <v>-0.78723827099216315</v>
      </c>
      <c r="D223" s="192">
        <f t="shared" si="360"/>
        <v>-7.3900199261644737</v>
      </c>
      <c r="E223" s="192">
        <f t="shared" si="360"/>
        <v>-22.61169782733382</v>
      </c>
      <c r="F223" s="192">
        <f t="shared" si="360"/>
        <v>-53.74459420371398</v>
      </c>
      <c r="G223" s="192">
        <f t="shared" si="360"/>
        <v>-1242.966288084109</v>
      </c>
      <c r="H223" s="192">
        <f t="shared" si="360"/>
        <v>-354.63769055430737</v>
      </c>
      <c r="I223" s="192">
        <f t="shared" si="360"/>
        <v>-406.96470206053095</v>
      </c>
      <c r="J223" s="192">
        <f t="shared" ref="J223" si="361">J222*J187</f>
        <v>-560.73142314679649</v>
      </c>
      <c r="K223" s="192">
        <f t="shared" ref="K223" si="362">K222*K187</f>
        <v>-899.27343915801396</v>
      </c>
    </row>
    <row r="224" spans="1:11" ht="15" customHeight="1">
      <c r="A224" t="s">
        <v>532</v>
      </c>
      <c r="B224" s="192">
        <f>B38*(2/3)*((1+B44+B44^2)/(1+B44))</f>
        <v>0.12666666666666665</v>
      </c>
      <c r="C224" s="192">
        <f t="shared" ref="C224:I224" si="363">C38*(2/3)*((1+C44+C44^2)/(1+C44))</f>
        <v>0.12666666666666665</v>
      </c>
      <c r="D224" s="192">
        <f t="shared" si="363"/>
        <v>0.12666666666666665</v>
      </c>
      <c r="E224" s="192">
        <f t="shared" si="363"/>
        <v>0.12666666666666665</v>
      </c>
      <c r="F224" s="192">
        <f t="shared" si="363"/>
        <v>0.12666666666666665</v>
      </c>
      <c r="G224" s="192">
        <f t="shared" si="363"/>
        <v>0.12666666666666665</v>
      </c>
      <c r="H224" s="192">
        <f t="shared" si="363"/>
        <v>0.12666666666666665</v>
      </c>
      <c r="I224" s="192">
        <f t="shared" si="363"/>
        <v>0.12666666666666665</v>
      </c>
      <c r="J224" s="192">
        <f t="shared" ref="J224:K224" si="364">J38*(2/3)*((1+J44+J44^2)/(1+J44))</f>
        <v>0.12666666666666665</v>
      </c>
      <c r="K224" s="192">
        <f t="shared" si="364"/>
        <v>0.12666666666666665</v>
      </c>
    </row>
    <row r="225" spans="1:11" ht="15" customHeight="1">
      <c r="A225" t="s">
        <v>534</v>
      </c>
      <c r="B225" s="192">
        <v>0.8</v>
      </c>
      <c r="C225" s="192">
        <v>0.8</v>
      </c>
      <c r="D225" s="192">
        <v>0.8</v>
      </c>
      <c r="E225" s="192">
        <v>0.8</v>
      </c>
      <c r="F225" s="192">
        <v>0.8</v>
      </c>
      <c r="G225" s="192">
        <v>0.8</v>
      </c>
      <c r="H225" s="192">
        <v>0.8</v>
      </c>
      <c r="I225" s="192">
        <v>0.8</v>
      </c>
      <c r="J225" s="192">
        <v>0.8</v>
      </c>
      <c r="K225" s="192">
        <v>0.8</v>
      </c>
    </row>
    <row r="226" spans="1:11" ht="15" customHeight="1">
      <c r="A226" t="s">
        <v>531</v>
      </c>
      <c r="B226" s="192">
        <f>B223/(B29*B91*B224)</f>
        <v>-0.51138727573667009</v>
      </c>
      <c r="C226" s="192">
        <f t="shared" ref="C226:I226" si="365">C223/(C29*C91*C224)</f>
        <v>-0.51303758184404913</v>
      </c>
      <c r="D226" s="192">
        <f t="shared" si="365"/>
        <v>-0.53511371368338911</v>
      </c>
      <c r="E226" s="192">
        <f t="shared" si="365"/>
        <v>-0.58943530578630454</v>
      </c>
      <c r="F226" s="192">
        <f t="shared" si="365"/>
        <v>-0.71479530153681714</v>
      </c>
      <c r="G226" s="192">
        <f t="shared" si="365"/>
        <v>-8.1003228914247387</v>
      </c>
      <c r="H226" s="192">
        <f t="shared" si="365"/>
        <v>-1.0271771578462314</v>
      </c>
      <c r="I226" s="192">
        <f t="shared" si="365"/>
        <v>-0.66304000432385357</v>
      </c>
      <c r="J226" s="192">
        <f t="shared" ref="J226:K226" si="366">J223/(J29*J91*J224)</f>
        <v>-0.40602742241154832</v>
      </c>
      <c r="K226" s="192">
        <f t="shared" si="366"/>
        <v>-0.23442004162767741</v>
      </c>
    </row>
    <row r="227" spans="1:11" ht="15" customHeight="1">
      <c r="A227" s="294" t="s">
        <v>536</v>
      </c>
      <c r="B227" s="292">
        <f>(-B185*B187^2)/(B225*B3)</f>
        <v>-4.0983900073281931E-3</v>
      </c>
      <c r="C227" s="292">
        <f t="shared" ref="C227:I227" si="367">(-C185*C187^2)/(C225*C3)</f>
        <v>-2.3821240016529141E-3</v>
      </c>
      <c r="D227" s="292">
        <f t="shared" si="367"/>
        <v>-8.2820912547124472E-4</v>
      </c>
      <c r="E227" s="292">
        <f t="shared" si="367"/>
        <v>-5.4737042237268114E-4</v>
      </c>
      <c r="F227" s="292">
        <f t="shared" si="367"/>
        <v>-4.7413152684485635E-4</v>
      </c>
      <c r="G227" s="292">
        <f t="shared" si="367"/>
        <v>-3.7611228229020664E-3</v>
      </c>
      <c r="H227" s="292">
        <f t="shared" si="367"/>
        <v>-3.1795765043958875E-4</v>
      </c>
      <c r="I227" s="292">
        <f t="shared" si="367"/>
        <v>-1.5393058561897086E-4</v>
      </c>
      <c r="J227" s="292">
        <f t="shared" ref="J227:K227" si="368">(-J185*J187^2)/(J225*J3)</f>
        <v>-6.2841898429046128E-5</v>
      </c>
      <c r="K227" s="292">
        <f t="shared" si="368"/>
        <v>-2.1769072184638144E-5</v>
      </c>
    </row>
    <row r="228" spans="1:11" ht="15" customHeight="1" outlineLevel="1">
      <c r="A228">
        <v>0.06</v>
      </c>
      <c r="B228" s="292">
        <v>-3.957435565420617E-3</v>
      </c>
      <c r="C228" s="292"/>
      <c r="D228" s="292"/>
      <c r="E228" s="292"/>
      <c r="F228" s="292"/>
      <c r="G228" s="292"/>
      <c r="H228" s="292"/>
      <c r="I228" s="292"/>
      <c r="J228" s="292"/>
      <c r="K228" s="292"/>
    </row>
    <row r="229" spans="1:11" ht="15" customHeight="1" outlineLevel="1">
      <c r="A229">
        <v>0.1</v>
      </c>
      <c r="B229" s="292">
        <v>-1.0587217785124063E-3</v>
      </c>
      <c r="C229" s="292"/>
      <c r="D229" s="292"/>
      <c r="E229" s="292"/>
      <c r="F229" s="292"/>
      <c r="G229" s="292"/>
      <c r="H229" s="292"/>
      <c r="I229" s="292"/>
      <c r="J229" s="292"/>
      <c r="K229" s="292"/>
    </row>
    <row r="230" spans="1:11" ht="15" customHeight="1" outlineLevel="1">
      <c r="A230">
        <v>0.3</v>
      </c>
      <c r="B230" s="292">
        <v>-2.3663117870606997E-4</v>
      </c>
      <c r="C230" s="292"/>
      <c r="D230" s="292"/>
      <c r="E230" s="292"/>
      <c r="F230" s="292"/>
      <c r="G230" s="292"/>
      <c r="H230" s="292"/>
      <c r="I230" s="292"/>
      <c r="J230" s="292"/>
      <c r="K230" s="292"/>
    </row>
    <row r="231" spans="1:11" ht="15" customHeight="1" outlineLevel="1">
      <c r="A231">
        <v>0.5</v>
      </c>
      <c r="B231" s="292">
        <v>-1.1523587839424864E-4</v>
      </c>
      <c r="C231" s="292"/>
      <c r="D231" s="292"/>
      <c r="E231" s="292"/>
      <c r="F231" s="292"/>
      <c r="G231" s="292"/>
      <c r="H231" s="292"/>
      <c r="I231" s="292"/>
      <c r="J231" s="292"/>
      <c r="K231" s="292"/>
    </row>
    <row r="232" spans="1:11" ht="15" customHeight="1" outlineLevel="1">
      <c r="A232">
        <v>0.7</v>
      </c>
      <c r="B232" s="292">
        <v>-7.9021921140809409E-5</v>
      </c>
      <c r="C232" s="292"/>
      <c r="D232" s="292"/>
      <c r="E232" s="292"/>
      <c r="F232" s="292"/>
      <c r="G232" s="292"/>
      <c r="H232" s="292"/>
      <c r="I232" s="292"/>
      <c r="J232" s="292"/>
      <c r="K232" s="292"/>
    </row>
    <row r="233" spans="1:11" ht="15" customHeight="1" outlineLevel="1">
      <c r="A233">
        <v>1</v>
      </c>
      <c r="B233" s="292">
        <v>-5.1877556177959536E-4</v>
      </c>
      <c r="C233" s="292"/>
      <c r="D233" s="292"/>
      <c r="E233" s="292"/>
      <c r="F233" s="292"/>
      <c r="G233" s="292"/>
      <c r="H233" s="292"/>
      <c r="I233" s="292"/>
      <c r="J233" s="292"/>
      <c r="K233" s="292"/>
    </row>
    <row r="234" spans="1:11" ht="15" customHeight="1" outlineLevel="1">
      <c r="A234">
        <v>1.5</v>
      </c>
      <c r="B234" s="292">
        <v>-3.1795765043958875E-4</v>
      </c>
      <c r="C234" s="292"/>
      <c r="D234" s="292"/>
      <c r="E234" s="292"/>
      <c r="F234" s="292"/>
      <c r="G234" s="292"/>
      <c r="H234" s="292"/>
      <c r="I234" s="292"/>
      <c r="J234" s="292"/>
      <c r="K234" s="292"/>
    </row>
    <row r="235" spans="1:11" ht="15" customHeight="1" outlineLevel="1">
      <c r="A235">
        <v>2</v>
      </c>
      <c r="B235" s="292">
        <v>-6.841359360843149E-5</v>
      </c>
      <c r="C235" s="292"/>
      <c r="D235" s="292"/>
      <c r="E235" s="292"/>
      <c r="F235" s="292"/>
      <c r="G235" s="292"/>
      <c r="H235" s="292"/>
      <c r="I235" s="292"/>
      <c r="J235" s="292"/>
      <c r="K235" s="292"/>
    </row>
    <row r="236" spans="1:11" ht="15" customHeight="1" outlineLevel="1">
      <c r="A236">
        <v>3</v>
      </c>
      <c r="B236" s="292">
        <v>-1.795482812258461E-5</v>
      </c>
      <c r="C236" s="292"/>
      <c r="D236" s="292"/>
      <c r="E236" s="292"/>
      <c r="F236" s="292"/>
      <c r="G236" s="292"/>
      <c r="H236" s="292"/>
      <c r="I236" s="292"/>
      <c r="J236" s="292"/>
      <c r="K236" s="292"/>
    </row>
    <row r="237" spans="1:11" ht="15" customHeight="1" outlineLevel="1">
      <c r="A237">
        <v>5</v>
      </c>
      <c r="B237" s="292">
        <v>-4.5829625651869788E-6</v>
      </c>
      <c r="C237" s="292"/>
      <c r="D237" s="292"/>
      <c r="E237" s="292"/>
      <c r="F237" s="292"/>
      <c r="G237" s="292"/>
      <c r="H237" s="292"/>
      <c r="I237" s="292"/>
      <c r="J237" s="292"/>
      <c r="K237" s="292"/>
    </row>
    <row r="239" spans="1:11" ht="15" customHeight="1">
      <c r="A239" s="294" t="s">
        <v>537</v>
      </c>
      <c r="B239" s="192">
        <f>(B185*B187)/B225</f>
        <v>0.42414518635482801</v>
      </c>
      <c r="C239" s="192">
        <f t="shared" ref="C239:I239" si="369">(C185*C187)/C225</f>
        <v>0.42551395211156007</v>
      </c>
      <c r="D239" s="192">
        <f t="shared" si="369"/>
        <v>0.4438239208910964</v>
      </c>
      <c r="E239" s="192">
        <f t="shared" si="369"/>
        <v>0.48887831097616802</v>
      </c>
      <c r="F239" s="192">
        <f t="shared" si="369"/>
        <v>0.59285203359655836</v>
      </c>
      <c r="G239" s="192">
        <f t="shared" si="369"/>
        <v>6.7184169910531475</v>
      </c>
      <c r="H239" s="192">
        <f t="shared" si="369"/>
        <v>0.85194189942741982</v>
      </c>
      <c r="I239" s="192">
        <f t="shared" si="369"/>
        <v>0.54992613140311863</v>
      </c>
      <c r="J239" s="192">
        <f t="shared" ref="J239:K239" si="370">(J185*J187)/J225</f>
        <v>0.33675960454009318</v>
      </c>
      <c r="K239" s="192">
        <f t="shared" si="370"/>
        <v>0.19442824833341479</v>
      </c>
    </row>
    <row r="240" spans="1:11" ht="15" customHeight="1" outlineLevel="1">
      <c r="A240">
        <v>0.06</v>
      </c>
      <c r="B240" s="192">
        <v>0.42414518635482801</v>
      </c>
    </row>
    <row r="241" spans="1:2" ht="15" customHeight="1" outlineLevel="1">
      <c r="A241">
        <v>0.1</v>
      </c>
      <c r="B241" s="192">
        <v>0.42551395211156007</v>
      </c>
    </row>
    <row r="242" spans="1:2" ht="15" customHeight="1" outlineLevel="1">
      <c r="A242">
        <v>0.3</v>
      </c>
      <c r="B242" s="192">
        <v>0.4438239208910964</v>
      </c>
    </row>
    <row r="243" spans="1:2" ht="15" customHeight="1" outlineLevel="1">
      <c r="A243">
        <v>0.5</v>
      </c>
      <c r="B243" s="192">
        <v>0.48887831097616802</v>
      </c>
    </row>
    <row r="244" spans="1:2" ht="15" customHeight="1" outlineLevel="1">
      <c r="A244">
        <v>0.7</v>
      </c>
      <c r="B244" s="192">
        <v>0.59285203359655836</v>
      </c>
    </row>
    <row r="245" spans="1:2" ht="15" customHeight="1" outlineLevel="1">
      <c r="A245">
        <v>1</v>
      </c>
      <c r="B245" s="192">
        <v>6.7184169910531475</v>
      </c>
    </row>
    <row r="246" spans="1:2" ht="15" customHeight="1" outlineLevel="1">
      <c r="A246">
        <v>1.5</v>
      </c>
      <c r="B246" s="192">
        <v>0.85194189942741982</v>
      </c>
    </row>
    <row r="247" spans="1:2" ht="15" customHeight="1" outlineLevel="1">
      <c r="A247">
        <v>2</v>
      </c>
      <c r="B247" s="192">
        <v>0.54992613140311863</v>
      </c>
    </row>
    <row r="248" spans="1:2" ht="15" customHeight="1" outlineLevel="1">
      <c r="A248">
        <v>3</v>
      </c>
      <c r="B248" s="192">
        <v>0.33675960454009318</v>
      </c>
    </row>
    <row r="249" spans="1:2" ht="15" customHeight="1" outlineLevel="1">
      <c r="A249">
        <v>5</v>
      </c>
      <c r="B249" s="192">
        <v>0.19442824833341479</v>
      </c>
    </row>
  </sheetData>
  <scenarios current="1" show="0">
    <scenario name="AoA 0deg" locked="1" count="1" user="Leonardo Valadez Ortiz" comment="Created by Leonardo Valadez Ortiz on 08/07/2025_x000a_Modified by Leonardo Valadez Ortiz on 08/07/2025">
      <inputCells r="B9" val="0" numFmtId="165"/>
    </scenario>
    <scenario name="AoA 5deg" locked="1" count="1" user="Leonardo Valadez Ortiz" comment="Created by Leonardo Valadez Ortiz on 08/07/2025">
      <inputCells r="B9" val="5" numFmtId="165"/>
    </scenario>
  </scenarios>
  <conditionalFormatting sqref="B199:K207">
    <cfRule type="cellIs" dxfId="0" priority="1" operator="greaterThan">
      <formula>15</formula>
    </cfRule>
  </conditionalFormatting>
  <pageMargins left="0.7" right="0.7" top="0.75" bottom="0.75" header="0.3" footer="0.3"/>
  <pageSetup orientation="portrait" r:id="rId1"/>
  <cellWatches>
    <cellWatch r="B93"/>
    <cellWatch r="B94"/>
  </cellWatche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6"/>
  <sheetViews>
    <sheetView zoomScale="85" zoomScaleNormal="85" workbookViewId="0">
      <pane ySplit="3" topLeftCell="A4" activePane="bottomLeft" state="frozen"/>
      <selection pane="bottomLeft" activeCell="L3" sqref="K3:L3"/>
    </sheetView>
  </sheetViews>
  <sheetFormatPr defaultColWidth="9.08984375" defaultRowHeight="14.5"/>
  <cols>
    <col min="1" max="1" width="44.7265625" style="283" customWidth="1"/>
    <col min="2" max="6" width="9.08984375" style="284" bestFit="1" customWidth="1"/>
    <col min="7" max="8" width="10" style="284" bestFit="1" customWidth="1"/>
    <col min="9" max="11" width="9.08984375" style="284"/>
    <col min="13" max="13" width="17.08984375" customWidth="1"/>
  </cols>
  <sheetData>
    <row r="1" spans="1:13">
      <c r="A1" s="282" t="s">
        <v>517</v>
      </c>
      <c r="B1" s="284">
        <v>0.06</v>
      </c>
      <c r="C1" s="284">
        <v>0.1</v>
      </c>
      <c r="D1" s="284">
        <v>0.3</v>
      </c>
      <c r="E1" s="284">
        <v>0.5</v>
      </c>
      <c r="F1" s="284">
        <v>0.7</v>
      </c>
      <c r="G1" s="284">
        <v>1</v>
      </c>
      <c r="H1" s="284">
        <v>1.5</v>
      </c>
      <c r="I1" s="284">
        <v>2</v>
      </c>
      <c r="J1" s="284">
        <v>3</v>
      </c>
      <c r="K1" s="284">
        <v>5</v>
      </c>
    </row>
    <row r="2" spans="1:13">
      <c r="A2" s="283" t="s">
        <v>538</v>
      </c>
      <c r="B2" s="284">
        <f t="shared" ref="B2:K2" si="0">B1*$N$22</f>
        <v>20.399999999999999</v>
      </c>
      <c r="C2" s="284">
        <f t="shared" si="0"/>
        <v>34</v>
      </c>
      <c r="D2" s="284">
        <f t="shared" si="0"/>
        <v>102</v>
      </c>
      <c r="E2" s="284">
        <f t="shared" si="0"/>
        <v>170</v>
      </c>
      <c r="F2" s="284">
        <f t="shared" si="0"/>
        <v>237.99999999999997</v>
      </c>
      <c r="G2" s="284">
        <f t="shared" si="0"/>
        <v>340</v>
      </c>
      <c r="H2" s="284">
        <f t="shared" si="0"/>
        <v>510</v>
      </c>
      <c r="I2" s="284">
        <f t="shared" si="0"/>
        <v>680</v>
      </c>
      <c r="J2" s="284">
        <f t="shared" si="0"/>
        <v>1020</v>
      </c>
      <c r="K2" s="284">
        <f t="shared" si="0"/>
        <v>1700</v>
      </c>
      <c r="M2" t="s">
        <v>516</v>
      </c>
    </row>
    <row r="3" spans="1:13">
      <c r="A3" s="283" t="s">
        <v>548</v>
      </c>
      <c r="B3" s="284">
        <f>0.5*$N$25*B2^2</f>
        <v>254.68991999999997</v>
      </c>
      <c r="C3" s="284">
        <f t="shared" ref="C3:K3" si="1">0.5*$N$25*C2^2</f>
        <v>707.47199999999998</v>
      </c>
      <c r="D3" s="284">
        <f t="shared" si="1"/>
        <v>6367.2479999999996</v>
      </c>
      <c r="E3" s="284">
        <f t="shared" si="1"/>
        <v>17686.8</v>
      </c>
      <c r="F3" s="284">
        <f t="shared" si="1"/>
        <v>34666.12799999999</v>
      </c>
      <c r="G3" s="284">
        <f t="shared" si="1"/>
        <v>70747.199999999997</v>
      </c>
      <c r="H3" s="284">
        <f t="shared" si="1"/>
        <v>159181.19999999998</v>
      </c>
      <c r="I3" s="284">
        <f t="shared" si="1"/>
        <v>282988.79999999999</v>
      </c>
      <c r="J3" s="284">
        <f t="shared" si="1"/>
        <v>636724.79999999993</v>
      </c>
      <c r="K3" s="284">
        <f t="shared" si="1"/>
        <v>1768680</v>
      </c>
    </row>
    <row r="4" spans="1:13">
      <c r="A4" s="283" t="s">
        <v>513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</row>
    <row r="5" spans="1:13">
      <c r="A5" s="283">
        <v>0</v>
      </c>
      <c r="B5" s="296">
        <v>2.1053423000000002E-3</v>
      </c>
      <c r="C5" s="296">
        <v>2.1332036E-4</v>
      </c>
      <c r="D5" s="296">
        <v>6.7955695999999998E-3</v>
      </c>
      <c r="E5" s="296">
        <v>7.9433802000000008E-3</v>
      </c>
      <c r="F5" s="296">
        <v>1.0304545E-2</v>
      </c>
      <c r="G5" s="296">
        <v>5.2529211999999999E-3</v>
      </c>
      <c r="H5" s="296">
        <v>3.6308104999999999</v>
      </c>
      <c r="I5" s="296"/>
      <c r="J5" s="296"/>
      <c r="K5" s="296"/>
    </row>
    <row r="6" spans="1:13">
      <c r="A6" s="283">
        <v>5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</row>
    <row r="7" spans="1:13">
      <c r="A7" s="283">
        <v>10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</row>
    <row r="8" spans="1:13">
      <c r="A8" s="283">
        <v>15</v>
      </c>
      <c r="B8" s="296"/>
      <c r="C8" s="296"/>
      <c r="D8" s="296"/>
      <c r="E8" s="296"/>
      <c r="F8" s="296"/>
      <c r="G8" s="296"/>
      <c r="H8" s="296"/>
      <c r="I8" s="296"/>
      <c r="J8" s="296"/>
      <c r="K8" s="296"/>
    </row>
    <row r="9" spans="1:13">
      <c r="A9" s="283">
        <v>20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</row>
    <row r="10" spans="1:13">
      <c r="A10" s="283">
        <v>25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</row>
    <row r="11" spans="1:13">
      <c r="A11" s="283">
        <v>30</v>
      </c>
      <c r="B11" s="296"/>
      <c r="C11" s="296"/>
      <c r="D11" s="296"/>
      <c r="E11" s="296"/>
      <c r="F11" s="296"/>
      <c r="G11" s="296"/>
      <c r="H11" s="296"/>
      <c r="I11" s="296"/>
      <c r="J11" s="296"/>
      <c r="K11" s="296"/>
    </row>
    <row r="12" spans="1:13">
      <c r="A12" s="283" t="s">
        <v>514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</row>
    <row r="13" spans="1:13">
      <c r="A13" s="283">
        <v>0</v>
      </c>
      <c r="B13" s="284">
        <v>3.0247540000000002E-3</v>
      </c>
      <c r="C13" s="284">
        <v>7.5993731999999996E-3</v>
      </c>
      <c r="D13" s="284">
        <v>4.7434295999999997E-3</v>
      </c>
      <c r="E13" s="284">
        <v>8.7547752000000003E-3</v>
      </c>
      <c r="F13" s="284">
        <v>4.0891260000000002E-3</v>
      </c>
      <c r="G13" s="284">
        <v>3.6209692000000002E-2</v>
      </c>
      <c r="H13" s="284">
        <v>1.7392082</v>
      </c>
      <c r="I13" s="296"/>
      <c r="J13" s="296"/>
      <c r="K13" s="296"/>
    </row>
    <row r="14" spans="1:13">
      <c r="A14" s="283">
        <v>5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</row>
    <row r="15" spans="1:13">
      <c r="A15" s="283">
        <v>10</v>
      </c>
      <c r="B15" s="296"/>
      <c r="C15" s="296"/>
      <c r="D15" s="296"/>
      <c r="E15" s="296"/>
      <c r="F15" s="296"/>
      <c r="G15" s="296"/>
      <c r="H15" s="296"/>
      <c r="I15" s="296"/>
      <c r="J15" s="296"/>
      <c r="K15" s="296"/>
    </row>
    <row r="16" spans="1:13">
      <c r="A16" s="283">
        <v>15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</row>
    <row r="17" spans="1:15">
      <c r="A17" s="283">
        <v>20</v>
      </c>
      <c r="B17" s="296"/>
      <c r="C17" s="296"/>
      <c r="D17" s="296"/>
      <c r="E17" s="296"/>
      <c r="F17" s="296"/>
      <c r="G17" s="296"/>
      <c r="H17" s="296"/>
      <c r="I17" s="296"/>
      <c r="J17" s="296"/>
      <c r="K17" s="296"/>
    </row>
    <row r="18" spans="1:15">
      <c r="A18" s="283">
        <v>25</v>
      </c>
      <c r="B18" s="296"/>
      <c r="C18" s="296"/>
      <c r="D18" s="296"/>
      <c r="E18" s="296"/>
      <c r="F18" s="296"/>
      <c r="G18" s="296"/>
      <c r="H18" s="296"/>
      <c r="I18" s="296"/>
      <c r="J18" s="296"/>
      <c r="K18" s="296"/>
    </row>
    <row r="19" spans="1:15">
      <c r="A19" s="283">
        <v>30</v>
      </c>
      <c r="B19" s="296"/>
      <c r="C19" s="296"/>
      <c r="D19" s="296"/>
      <c r="E19" s="296"/>
      <c r="F19" s="296"/>
      <c r="G19" s="296"/>
      <c r="H19" s="296"/>
      <c r="I19" s="296"/>
      <c r="J19" s="296"/>
      <c r="K19" s="296"/>
    </row>
    <row r="20" spans="1:15">
      <c r="A20" s="283" t="s">
        <v>515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</row>
    <row r="21" spans="1:15">
      <c r="A21" s="283">
        <v>0</v>
      </c>
      <c r="B21" s="296">
        <v>0.44387747</v>
      </c>
      <c r="C21" s="296">
        <v>1.1780497999999999</v>
      </c>
      <c r="D21" s="296">
        <v>9.9524127999999994</v>
      </c>
      <c r="E21" s="296">
        <v>27.247305999999998</v>
      </c>
      <c r="F21" s="296">
        <v>54.030715000000001</v>
      </c>
      <c r="G21" s="296">
        <v>188.40852000000001</v>
      </c>
      <c r="H21" s="296">
        <v>573.49603999999999</v>
      </c>
      <c r="I21" s="296"/>
      <c r="J21" s="296"/>
      <c r="K21" s="296"/>
    </row>
    <row r="22" spans="1:15">
      <c r="A22" s="283">
        <v>5</v>
      </c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M22" t="s">
        <v>542</v>
      </c>
      <c r="N22">
        <v>340</v>
      </c>
      <c r="O22" t="s">
        <v>116</v>
      </c>
    </row>
    <row r="23" spans="1:15">
      <c r="A23" s="283">
        <v>10</v>
      </c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M23" t="s">
        <v>543</v>
      </c>
      <c r="N23">
        <v>288</v>
      </c>
      <c r="O23" t="s">
        <v>119</v>
      </c>
    </row>
    <row r="24" spans="1:15">
      <c r="A24" s="283">
        <v>15</v>
      </c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M24" t="s">
        <v>547</v>
      </c>
      <c r="N24">
        <f>CrossSecAreaRocket</f>
        <v>1.3867686977437444E-2</v>
      </c>
      <c r="O24" t="s">
        <v>230</v>
      </c>
    </row>
    <row r="25" spans="1:15">
      <c r="A25" s="283">
        <v>20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M25" t="s">
        <v>549</v>
      </c>
      <c r="N25">
        <v>1.224</v>
      </c>
      <c r="O25" t="s">
        <v>323</v>
      </c>
    </row>
    <row r="26" spans="1:15">
      <c r="A26" s="283">
        <v>25</v>
      </c>
      <c r="B26" s="296"/>
      <c r="C26" s="296"/>
      <c r="D26" s="296"/>
      <c r="E26" s="296"/>
      <c r="F26" s="296"/>
      <c r="G26" s="296"/>
      <c r="H26" s="296"/>
      <c r="I26" s="296"/>
      <c r="J26" s="296"/>
      <c r="K26" s="296"/>
      <c r="M26" t="s">
        <v>550</v>
      </c>
      <c r="N26">
        <f>'FinAeroDesign 2.0'!B225</f>
        <v>0.8</v>
      </c>
      <c r="O26" t="s">
        <v>204</v>
      </c>
    </row>
    <row r="27" spans="1:15">
      <c r="A27" s="283">
        <v>30</v>
      </c>
      <c r="B27" s="296"/>
      <c r="C27" s="296"/>
      <c r="D27" s="296"/>
      <c r="E27" s="296"/>
      <c r="F27" s="296"/>
      <c r="G27" s="296"/>
      <c r="H27" s="296"/>
      <c r="I27" s="296"/>
      <c r="J27" s="296"/>
      <c r="K27" s="296"/>
    </row>
    <row r="28" spans="1:15">
      <c r="A28" s="283" t="s">
        <v>546</v>
      </c>
    </row>
    <row r="29" spans="1:15">
      <c r="A29" s="283">
        <v>0</v>
      </c>
      <c r="B29" s="297">
        <v>3.9376972E-7</v>
      </c>
      <c r="C29" s="297">
        <v>1.0719754999999999E-6</v>
      </c>
      <c r="D29" s="297">
        <v>3.4923999999999998E-6</v>
      </c>
      <c r="E29" s="297">
        <v>6.2106154000000003E-6</v>
      </c>
      <c r="F29" s="297">
        <v>1.0547894E-5</v>
      </c>
      <c r="G29" s="297">
        <v>3.5391137000000002E-5</v>
      </c>
      <c r="H29" s="297">
        <v>-4.6915793999999999E-5</v>
      </c>
    </row>
    <row r="30" spans="1:15">
      <c r="A30" s="283">
        <v>5</v>
      </c>
    </row>
    <row r="31" spans="1:15">
      <c r="A31" s="283">
        <v>10</v>
      </c>
    </row>
    <row r="32" spans="1:15">
      <c r="A32" s="283">
        <v>15</v>
      </c>
    </row>
    <row r="33" spans="1:15">
      <c r="A33" s="283">
        <v>20</v>
      </c>
    </row>
    <row r="34" spans="1:15">
      <c r="A34" s="283">
        <v>25</v>
      </c>
    </row>
    <row r="35" spans="1:15">
      <c r="A35" s="283">
        <v>30</v>
      </c>
    </row>
    <row r="36" spans="1:15">
      <c r="A36" s="283" t="s">
        <v>545</v>
      </c>
      <c r="O36">
        <f>42*3</f>
        <v>126</v>
      </c>
    </row>
    <row r="37" spans="1:15">
      <c r="A37" s="283">
        <v>0</v>
      </c>
      <c r="B37" s="284">
        <v>-8.4067850000000004E-4</v>
      </c>
      <c r="C37" s="297">
        <v>-9.9430001999999994E-6</v>
      </c>
      <c r="D37" s="284">
        <v>-2.8579856000000002E-3</v>
      </c>
      <c r="E37" s="284">
        <v>-2.7765043000000001E-3</v>
      </c>
      <c r="F37" s="284">
        <v>-3.5801428E-3</v>
      </c>
      <c r="G37" s="284">
        <v>-1.2667222000000001E-2</v>
      </c>
      <c r="H37" s="284">
        <v>1.9839978</v>
      </c>
    </row>
    <row r="38" spans="1:15">
      <c r="A38" s="283">
        <v>5</v>
      </c>
    </row>
    <row r="39" spans="1:15">
      <c r="A39" s="283">
        <v>10</v>
      </c>
    </row>
    <row r="40" spans="1:15">
      <c r="A40" s="283">
        <v>15</v>
      </c>
    </row>
    <row r="41" spans="1:15">
      <c r="A41" s="283">
        <v>20</v>
      </c>
    </row>
    <row r="42" spans="1:15">
      <c r="A42" s="283">
        <v>25</v>
      </c>
    </row>
    <row r="43" spans="1:15">
      <c r="A43" s="283">
        <v>30</v>
      </c>
    </row>
    <row r="44" spans="1:15">
      <c r="A44" s="283" t="s">
        <v>544</v>
      </c>
    </row>
    <row r="45" spans="1:15">
      <c r="A45" s="283">
        <v>0</v>
      </c>
      <c r="B45" s="284">
        <v>-1.254186E-3</v>
      </c>
      <c r="C45" s="284">
        <v>-3.3242160000000001E-3</v>
      </c>
      <c r="D45" s="284">
        <v>-2.7258663000000001E-3</v>
      </c>
      <c r="E45" s="284">
        <v>-5.7863556000000002E-3</v>
      </c>
      <c r="F45" s="284">
        <v>-6.2785508000000002E-3</v>
      </c>
      <c r="G45" s="284">
        <v>2.9580740000000001E-2</v>
      </c>
      <c r="H45" s="284">
        <v>-1.2803529</v>
      </c>
    </row>
    <row r="46" spans="1:15">
      <c r="A46" s="283">
        <v>5</v>
      </c>
    </row>
    <row r="47" spans="1:15">
      <c r="A47" s="283">
        <v>10</v>
      </c>
    </row>
    <row r="48" spans="1:15">
      <c r="A48" s="283">
        <v>15</v>
      </c>
    </row>
    <row r="49" spans="1:11">
      <c r="A49" s="283">
        <v>20</v>
      </c>
    </row>
    <row r="50" spans="1:11">
      <c r="A50" s="283">
        <v>25</v>
      </c>
    </row>
    <row r="51" spans="1:11">
      <c r="A51" s="283">
        <v>30</v>
      </c>
    </row>
    <row r="52" spans="1:11">
      <c r="B52" s="296"/>
      <c r="C52" s="296"/>
      <c r="D52" s="296"/>
      <c r="E52" s="296"/>
      <c r="F52" s="296"/>
      <c r="G52" s="296"/>
      <c r="H52" s="296"/>
      <c r="I52" s="296"/>
      <c r="J52" s="296"/>
      <c r="K52" s="296"/>
    </row>
    <row r="53" spans="1:11" s="304" customFormat="1">
      <c r="A53" s="282" t="s">
        <v>518</v>
      </c>
      <c r="B53" s="303"/>
      <c r="C53" s="303"/>
      <c r="D53" s="303"/>
      <c r="E53" s="303"/>
      <c r="F53" s="303"/>
      <c r="G53" s="303"/>
      <c r="H53" s="303"/>
      <c r="I53" s="303"/>
      <c r="J53" s="303"/>
      <c r="K53" s="303"/>
    </row>
    <row r="54" spans="1:11">
      <c r="A54" s="283" t="s">
        <v>513</v>
      </c>
      <c r="B54" s="284">
        <f t="shared" ref="B54:H54" si="2">B5/(B$3*$N$24)</f>
        <v>5.9608326487816711E-4</v>
      </c>
      <c r="C54" s="284">
        <f t="shared" si="2"/>
        <v>2.1742977754906143E-5</v>
      </c>
      <c r="D54" s="284">
        <f t="shared" si="2"/>
        <v>7.696088781144652E-5</v>
      </c>
      <c r="E54" s="284">
        <f t="shared" si="2"/>
        <v>3.2385608009917467E-5</v>
      </c>
      <c r="F54" s="284">
        <f t="shared" si="2"/>
        <v>2.1434800893124218E-5</v>
      </c>
      <c r="G54" s="284">
        <f t="shared" si="2"/>
        <v>5.3541138220409384E-6</v>
      </c>
      <c r="H54" s="284">
        <f t="shared" si="2"/>
        <v>1.644779855128683E-3</v>
      </c>
    </row>
    <row r="55" spans="1:11">
      <c r="A55" s="283">
        <v>0</v>
      </c>
    </row>
    <row r="56" spans="1:11">
      <c r="A56" s="283">
        <v>5</v>
      </c>
    </row>
    <row r="57" spans="1:11">
      <c r="A57" s="283">
        <v>10</v>
      </c>
    </row>
    <row r="58" spans="1:11">
      <c r="A58" s="283">
        <v>15</v>
      </c>
    </row>
    <row r="59" spans="1:11">
      <c r="A59" s="283">
        <v>20</v>
      </c>
    </row>
    <row r="60" spans="1:11">
      <c r="A60" s="283">
        <v>25</v>
      </c>
    </row>
    <row r="61" spans="1:11">
      <c r="A61" s="283">
        <v>30</v>
      </c>
    </row>
    <row r="62" spans="1:11" s="267" customFormat="1">
      <c r="A62" s="298" t="s">
        <v>553</v>
      </c>
      <c r="B62" s="299"/>
      <c r="C62" s="299"/>
      <c r="D62" s="299"/>
      <c r="E62" s="299"/>
      <c r="F62" s="299"/>
      <c r="G62" s="299"/>
      <c r="H62" s="299"/>
      <c r="I62" s="299"/>
      <c r="J62" s="299"/>
      <c r="K62" s="299"/>
    </row>
    <row r="63" spans="1:11">
      <c r="A63" s="283" t="s">
        <v>514</v>
      </c>
    </row>
    <row r="64" spans="1:11">
      <c r="A64" s="283">
        <v>0</v>
      </c>
      <c r="B64" s="284">
        <f t="shared" ref="B64:H64" si="3">B13/(B$3*$N$24)</f>
        <v>8.5639529485219358E-4</v>
      </c>
      <c r="C64" s="284">
        <f t="shared" si="3"/>
        <v>7.7457680288384049E-4</v>
      </c>
      <c r="D64" s="284">
        <f t="shared" si="3"/>
        <v>5.3720081578900259E-5</v>
      </c>
      <c r="E64" s="284">
        <f t="shared" si="3"/>
        <v>3.5693711078080687E-5</v>
      </c>
      <c r="F64" s="284">
        <f t="shared" si="3"/>
        <v>8.5059167228536022E-6</v>
      </c>
      <c r="G64" s="284">
        <f t="shared" si="3"/>
        <v>3.690723790584279E-5</v>
      </c>
      <c r="H64" s="284">
        <f t="shared" si="3"/>
        <v>7.8787218755553817E-4</v>
      </c>
    </row>
    <row r="65" spans="1:11">
      <c r="A65" s="283">
        <v>5</v>
      </c>
    </row>
    <row r="66" spans="1:11">
      <c r="A66" s="283">
        <v>10</v>
      </c>
    </row>
    <row r="67" spans="1:11">
      <c r="A67" s="283">
        <v>15</v>
      </c>
    </row>
    <row r="68" spans="1:11">
      <c r="A68" s="283">
        <v>20</v>
      </c>
    </row>
    <row r="69" spans="1:11">
      <c r="A69" s="283">
        <v>25</v>
      </c>
    </row>
    <row r="70" spans="1:11">
      <c r="A70" s="283">
        <v>30</v>
      </c>
    </row>
    <row r="71" spans="1:11" s="267" customFormat="1">
      <c r="A71" s="298" t="s">
        <v>554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</row>
    <row r="72" spans="1:11">
      <c r="A72" s="283" t="s">
        <v>515</v>
      </c>
    </row>
    <row r="73" spans="1:11">
      <c r="A73" s="283">
        <v>0</v>
      </c>
      <c r="B73" s="284">
        <f t="shared" ref="B73:H73" si="4">B21/(B$3*$N$24)</f>
        <v>0.12567454305338407</v>
      </c>
      <c r="C73" s="284">
        <f t="shared" si="4"/>
        <v>0.12007438294015456</v>
      </c>
      <c r="D73" s="284">
        <f t="shared" si="4"/>
        <v>0.11271263043998611</v>
      </c>
      <c r="E73" s="284">
        <f t="shared" si="4"/>
        <v>0.11108879963246278</v>
      </c>
      <c r="F73" s="284">
        <f t="shared" si="4"/>
        <v>0.11239095157895279</v>
      </c>
      <c r="G73" s="284">
        <f t="shared" si="4"/>
        <v>0.19203803421271132</v>
      </c>
      <c r="H73" s="284">
        <f t="shared" si="4"/>
        <v>0.2597972914279259</v>
      </c>
    </row>
    <row r="74" spans="1:11">
      <c r="A74" s="283">
        <v>5</v>
      </c>
    </row>
    <row r="75" spans="1:11">
      <c r="A75" s="283">
        <v>10</v>
      </c>
    </row>
    <row r="76" spans="1:11">
      <c r="A76" s="283">
        <v>15</v>
      </c>
    </row>
    <row r="77" spans="1:11">
      <c r="A77" s="283">
        <v>20</v>
      </c>
    </row>
    <row r="78" spans="1:11">
      <c r="A78" s="283">
        <v>25</v>
      </c>
    </row>
    <row r="79" spans="1:11">
      <c r="A79" s="283">
        <v>30</v>
      </c>
    </row>
    <row r="80" spans="1:11" s="302" customFormat="1">
      <c r="A80" s="300" t="s">
        <v>555</v>
      </c>
      <c r="B80" s="301"/>
      <c r="C80" s="301"/>
      <c r="D80" s="301"/>
      <c r="E80" s="301"/>
      <c r="F80" s="301"/>
      <c r="G80" s="301"/>
      <c r="H80" s="301"/>
      <c r="I80" s="301"/>
      <c r="J80" s="301"/>
      <c r="K80" s="301"/>
    </row>
    <row r="81" spans="1:8">
      <c r="A81" s="283" t="s">
        <v>551</v>
      </c>
    </row>
    <row r="82" spans="1:8">
      <c r="A82" s="283">
        <v>0</v>
      </c>
      <c r="B82" s="284">
        <f t="shared" ref="B82:H82" si="5">B37/B5</f>
        <v>-0.39930727654120662</v>
      </c>
      <c r="C82" s="284">
        <f t="shared" si="5"/>
        <v>-4.6610647947528304E-2</v>
      </c>
      <c r="D82" s="284">
        <f t="shared" si="5"/>
        <v>-0.42056601112583708</v>
      </c>
      <c r="E82" s="284">
        <f t="shared" si="5"/>
        <v>-0.34953687600147854</v>
      </c>
      <c r="F82" s="284">
        <f t="shared" si="5"/>
        <v>-0.34743337042052802</v>
      </c>
      <c r="G82" s="284">
        <f t="shared" si="5"/>
        <v>-2.4114624068603963</v>
      </c>
      <c r="H82" s="284">
        <f t="shared" si="5"/>
        <v>0.54643386097952507</v>
      </c>
    </row>
    <row r="83" spans="1:8">
      <c r="A83" s="283">
        <v>5</v>
      </c>
    </row>
    <row r="84" spans="1:8">
      <c r="A84" s="283">
        <v>10</v>
      </c>
    </row>
    <row r="85" spans="1:8">
      <c r="A85" s="283">
        <v>15</v>
      </c>
    </row>
    <row r="86" spans="1:8">
      <c r="A86" s="283">
        <v>20</v>
      </c>
    </row>
    <row r="87" spans="1:8">
      <c r="A87" s="283">
        <v>25</v>
      </c>
    </row>
    <row r="88" spans="1:8">
      <c r="A88" s="283">
        <v>30</v>
      </c>
    </row>
    <row r="89" spans="1:8">
      <c r="A89" s="283" t="s">
        <v>552</v>
      </c>
    </row>
    <row r="90" spans="1:8">
      <c r="A90" s="283">
        <v>0</v>
      </c>
      <c r="B90" s="284">
        <f t="shared" ref="B90:H90" si="6">B45/B13</f>
        <v>-0.41464066168686775</v>
      </c>
      <c r="C90" s="284">
        <f t="shared" si="6"/>
        <v>-0.43743291880967239</v>
      </c>
      <c r="D90" s="284">
        <f t="shared" si="6"/>
        <v>-0.57466148543661322</v>
      </c>
      <c r="E90" s="284">
        <f t="shared" si="6"/>
        <v>-0.66093708494079895</v>
      </c>
      <c r="F90" s="284">
        <f t="shared" si="6"/>
        <v>-1.5354261032797718</v>
      </c>
      <c r="G90" s="284">
        <f t="shared" si="6"/>
        <v>0.81692879353958603</v>
      </c>
      <c r="H90" s="284">
        <f t="shared" si="6"/>
        <v>-0.7361699996584653</v>
      </c>
    </row>
    <row r="91" spans="1:8">
      <c r="A91" s="283">
        <v>5</v>
      </c>
    </row>
    <row r="92" spans="1:8">
      <c r="A92" s="283">
        <v>10</v>
      </c>
    </row>
    <row r="93" spans="1:8">
      <c r="A93" s="283">
        <v>15</v>
      </c>
    </row>
    <row r="94" spans="1:8">
      <c r="A94" s="283">
        <v>20</v>
      </c>
    </row>
    <row r="95" spans="1:8">
      <c r="A95" s="283">
        <v>25</v>
      </c>
    </row>
    <row r="96" spans="1:8">
      <c r="A96" s="283">
        <v>30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O96"/>
  <sheetViews>
    <sheetView tabSelected="1" zoomScale="85" zoomScaleNormal="85" workbookViewId="0">
      <pane ySplit="3" topLeftCell="A4" activePane="bottomLeft" state="frozen"/>
      <selection pane="bottomLeft" activeCell="H18" sqref="H18"/>
    </sheetView>
  </sheetViews>
  <sheetFormatPr defaultColWidth="9.08984375" defaultRowHeight="14.5"/>
  <cols>
    <col min="1" max="1" width="44.7265625" style="283" customWidth="1"/>
    <col min="2" max="6" width="9.08984375" style="284" bestFit="1" customWidth="1"/>
    <col min="7" max="8" width="10" style="284" bestFit="1" customWidth="1"/>
    <col min="9" max="11" width="9.08984375" style="284"/>
    <col min="13" max="13" width="17.08984375" customWidth="1"/>
  </cols>
  <sheetData>
    <row r="1" spans="1:13">
      <c r="A1" s="282" t="s">
        <v>517</v>
      </c>
      <c r="B1" s="284">
        <v>0.06</v>
      </c>
      <c r="C1" s="284">
        <v>0.1</v>
      </c>
      <c r="D1" s="284">
        <v>0.3</v>
      </c>
      <c r="E1" s="284">
        <v>0.5</v>
      </c>
      <c r="F1" s="284">
        <v>0.7</v>
      </c>
      <c r="G1" s="284">
        <v>1</v>
      </c>
      <c r="H1" s="284">
        <v>1.5</v>
      </c>
      <c r="I1" s="284">
        <v>2</v>
      </c>
      <c r="J1" s="284">
        <v>3</v>
      </c>
      <c r="K1" s="284">
        <v>5</v>
      </c>
    </row>
    <row r="2" spans="1:13">
      <c r="A2" s="283" t="s">
        <v>538</v>
      </c>
      <c r="B2" s="284">
        <f t="shared" ref="B2:K2" si="0">B1*$N$22</f>
        <v>20.399999999999999</v>
      </c>
      <c r="C2" s="284">
        <f t="shared" si="0"/>
        <v>34</v>
      </c>
      <c r="D2" s="284">
        <f t="shared" si="0"/>
        <v>102</v>
      </c>
      <c r="E2" s="284">
        <f t="shared" si="0"/>
        <v>170</v>
      </c>
      <c r="F2" s="284">
        <f t="shared" si="0"/>
        <v>237.99999999999997</v>
      </c>
      <c r="G2" s="284">
        <f t="shared" si="0"/>
        <v>340</v>
      </c>
      <c r="H2" s="284">
        <f t="shared" si="0"/>
        <v>510</v>
      </c>
      <c r="I2" s="284">
        <f t="shared" si="0"/>
        <v>680</v>
      </c>
      <c r="J2" s="284">
        <f t="shared" si="0"/>
        <v>1020</v>
      </c>
      <c r="K2" s="284">
        <f t="shared" si="0"/>
        <v>1700</v>
      </c>
      <c r="M2" t="s">
        <v>516</v>
      </c>
    </row>
    <row r="3" spans="1:13">
      <c r="A3" s="283" t="s">
        <v>548</v>
      </c>
      <c r="B3" s="284">
        <f>0.5*$N$25*B2^2</f>
        <v>254.68991999999997</v>
      </c>
      <c r="C3" s="284">
        <f t="shared" ref="C3:K3" si="1">0.5*$N$25*C2^2</f>
        <v>707.47199999999998</v>
      </c>
      <c r="D3" s="284">
        <f t="shared" si="1"/>
        <v>6367.2479999999996</v>
      </c>
      <c r="E3" s="284">
        <f t="shared" si="1"/>
        <v>17686.8</v>
      </c>
      <c r="F3" s="284">
        <f t="shared" si="1"/>
        <v>34666.12799999999</v>
      </c>
      <c r="G3" s="284">
        <f t="shared" si="1"/>
        <v>70747.199999999997</v>
      </c>
      <c r="H3" s="284">
        <f t="shared" si="1"/>
        <v>159181.19999999998</v>
      </c>
      <c r="I3" s="284">
        <f t="shared" si="1"/>
        <v>282988.79999999999</v>
      </c>
      <c r="J3" s="284">
        <f t="shared" si="1"/>
        <v>636724.79999999993</v>
      </c>
      <c r="K3" s="284">
        <f t="shared" si="1"/>
        <v>1768680</v>
      </c>
    </row>
    <row r="4" spans="1:13">
      <c r="A4" s="283" t="s">
        <v>513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</row>
    <row r="5" spans="1:13">
      <c r="A5" s="283">
        <v>0</v>
      </c>
      <c r="B5" s="296">
        <v>2.1053423000000002E-3</v>
      </c>
      <c r="C5" s="296">
        <v>2.1332036E-4</v>
      </c>
      <c r="D5" s="296">
        <v>6.7955695999999998E-3</v>
      </c>
      <c r="E5" s="296">
        <v>7.9433802000000008E-3</v>
      </c>
      <c r="F5" s="296">
        <v>1.0304545E-2</v>
      </c>
      <c r="G5" s="296">
        <v>5.2529211999999999E-3</v>
      </c>
      <c r="H5" s="296">
        <v>3.6308104999999999</v>
      </c>
      <c r="I5" s="296"/>
      <c r="J5" s="296"/>
      <c r="K5" s="296"/>
    </row>
    <row r="6" spans="1:13">
      <c r="A6" s="283">
        <v>5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</row>
    <row r="7" spans="1:13">
      <c r="A7" s="283">
        <v>10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</row>
    <row r="8" spans="1:13">
      <c r="A8" s="283">
        <v>15</v>
      </c>
      <c r="B8" s="296"/>
      <c r="C8" s="296"/>
      <c r="D8" s="296"/>
      <c r="E8" s="296"/>
      <c r="F8" s="296"/>
      <c r="G8" s="296"/>
      <c r="H8" s="296"/>
      <c r="I8" s="296"/>
      <c r="J8" s="296"/>
      <c r="K8" s="296"/>
    </row>
    <row r="9" spans="1:13">
      <c r="A9" s="283">
        <v>20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</row>
    <row r="10" spans="1:13">
      <c r="A10" s="283">
        <v>25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</row>
    <row r="11" spans="1:13">
      <c r="A11" s="283">
        <v>30</v>
      </c>
      <c r="B11" s="296"/>
      <c r="C11" s="296"/>
      <c r="D11" s="296"/>
      <c r="E11" s="296"/>
      <c r="F11" s="296"/>
      <c r="G11" s="296"/>
      <c r="H11" s="296"/>
      <c r="I11" s="296"/>
      <c r="J11" s="296"/>
      <c r="K11" s="296"/>
    </row>
    <row r="12" spans="1:13">
      <c r="A12" s="283" t="s">
        <v>514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</row>
    <row r="13" spans="1:13">
      <c r="A13" s="283">
        <v>0</v>
      </c>
      <c r="B13" s="284">
        <v>3.0247540000000002E-3</v>
      </c>
      <c r="C13" s="284">
        <v>7.5993731999999996E-3</v>
      </c>
      <c r="D13" s="284">
        <v>4.7434295999999997E-3</v>
      </c>
      <c r="E13" s="284">
        <v>8.7547752000000003E-3</v>
      </c>
      <c r="F13" s="284">
        <v>4.0891260000000002E-3</v>
      </c>
      <c r="G13" s="284">
        <v>3.6209692000000002E-2</v>
      </c>
      <c r="H13" s="284">
        <v>1.7392082</v>
      </c>
      <c r="I13" s="296"/>
      <c r="J13" s="296"/>
      <c r="K13" s="296"/>
    </row>
    <row r="14" spans="1:13">
      <c r="A14" s="283">
        <v>5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</row>
    <row r="15" spans="1:13">
      <c r="A15" s="283">
        <v>10</v>
      </c>
      <c r="B15" s="296"/>
      <c r="C15" s="296"/>
      <c r="D15" s="296"/>
      <c r="E15" s="296"/>
      <c r="F15" s="296"/>
      <c r="G15" s="296"/>
      <c r="H15" s="296"/>
      <c r="I15" s="296"/>
      <c r="J15" s="296"/>
      <c r="K15" s="296"/>
    </row>
    <row r="16" spans="1:13">
      <c r="A16" s="283">
        <v>15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</row>
    <row r="17" spans="1:15">
      <c r="A17" s="283">
        <v>20</v>
      </c>
      <c r="B17" s="296"/>
      <c r="C17" s="296"/>
      <c r="D17" s="296"/>
      <c r="E17" s="296"/>
      <c r="F17" s="296"/>
      <c r="G17" s="296"/>
      <c r="H17" s="296"/>
      <c r="I17" s="296"/>
      <c r="J17" s="296"/>
      <c r="K17" s="296"/>
    </row>
    <row r="18" spans="1:15">
      <c r="A18" s="283">
        <v>25</v>
      </c>
      <c r="B18" s="296"/>
      <c r="C18" s="296"/>
      <c r="D18" s="296"/>
      <c r="E18" s="296"/>
      <c r="F18" s="296"/>
      <c r="G18" s="296"/>
      <c r="H18" s="296"/>
      <c r="I18" s="296"/>
      <c r="J18" s="296"/>
      <c r="K18" s="296"/>
    </row>
    <row r="19" spans="1:15">
      <c r="A19" s="283">
        <v>30</v>
      </c>
      <c r="B19" s="296"/>
      <c r="C19" s="296"/>
      <c r="D19" s="296"/>
      <c r="E19" s="296"/>
      <c r="F19" s="296"/>
      <c r="G19" s="296"/>
      <c r="H19" s="296"/>
      <c r="I19" s="296"/>
      <c r="J19" s="296"/>
      <c r="K19" s="296"/>
    </row>
    <row r="20" spans="1:15">
      <c r="A20" s="283" t="s">
        <v>515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</row>
    <row r="21" spans="1:15">
      <c r="A21" s="283">
        <v>0</v>
      </c>
      <c r="B21" s="296">
        <v>0.44387747</v>
      </c>
      <c r="C21" s="296">
        <v>1.1780497999999999</v>
      </c>
      <c r="D21" s="296">
        <v>9.9524127999999994</v>
      </c>
      <c r="E21" s="296">
        <v>27.247305999999998</v>
      </c>
      <c r="F21" s="296">
        <v>54.030715000000001</v>
      </c>
      <c r="G21" s="296">
        <v>188.40852000000001</v>
      </c>
      <c r="H21" s="296">
        <v>573.49603999999999</v>
      </c>
      <c r="I21" s="296"/>
      <c r="J21" s="296"/>
      <c r="K21" s="296"/>
    </row>
    <row r="22" spans="1:15">
      <c r="A22" s="283">
        <v>5</v>
      </c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M22" t="s">
        <v>542</v>
      </c>
      <c r="N22">
        <v>340</v>
      </c>
      <c r="O22" t="s">
        <v>116</v>
      </c>
    </row>
    <row r="23" spans="1:15">
      <c r="A23" s="283">
        <v>10</v>
      </c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M23" t="s">
        <v>543</v>
      </c>
      <c r="N23">
        <v>288</v>
      </c>
      <c r="O23" t="s">
        <v>119</v>
      </c>
    </row>
    <row r="24" spans="1:15">
      <c r="A24" s="283">
        <v>15</v>
      </c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M24" t="s">
        <v>547</v>
      </c>
      <c r="N24">
        <f>CrossSecAreaRocket</f>
        <v>1.3867686977437444E-2</v>
      </c>
      <c r="O24" t="s">
        <v>230</v>
      </c>
    </row>
    <row r="25" spans="1:15">
      <c r="A25" s="283">
        <v>20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M25" t="s">
        <v>549</v>
      </c>
      <c r="N25">
        <v>1.224</v>
      </c>
      <c r="O25" t="s">
        <v>323</v>
      </c>
    </row>
    <row r="26" spans="1:15">
      <c r="A26" s="283">
        <v>25</v>
      </c>
      <c r="B26" s="296"/>
      <c r="C26" s="296"/>
      <c r="D26" s="296"/>
      <c r="E26" s="296"/>
      <c r="F26" s="296"/>
      <c r="G26" s="296"/>
      <c r="H26" s="296"/>
      <c r="I26" s="296"/>
      <c r="J26" s="296"/>
      <c r="K26" s="296"/>
      <c r="M26" t="s">
        <v>550</v>
      </c>
      <c r="N26">
        <f>'FinAeroDesign 2.0'!B225</f>
        <v>0.8</v>
      </c>
      <c r="O26" t="s">
        <v>204</v>
      </c>
    </row>
    <row r="27" spans="1:15">
      <c r="A27" s="283">
        <v>30</v>
      </c>
      <c r="B27" s="296"/>
      <c r="C27" s="296"/>
      <c r="D27" s="296"/>
      <c r="E27" s="296"/>
      <c r="F27" s="296"/>
      <c r="G27" s="296"/>
      <c r="H27" s="296"/>
      <c r="I27" s="296"/>
      <c r="J27" s="296"/>
      <c r="K27" s="296"/>
    </row>
    <row r="28" spans="1:15">
      <c r="A28" s="283" t="s">
        <v>546</v>
      </c>
      <c r="M28" t="s">
        <v>558</v>
      </c>
      <c r="N28">
        <v>14</v>
      </c>
      <c r="O28">
        <v>15</v>
      </c>
    </row>
    <row r="29" spans="1:15">
      <c r="A29" s="283">
        <v>0</v>
      </c>
      <c r="B29" s="297">
        <v>3.9376972E-7</v>
      </c>
      <c r="C29" s="297">
        <v>1.0719754999999999E-6</v>
      </c>
      <c r="D29" s="297">
        <v>3.4923999999999998E-6</v>
      </c>
      <c r="E29" s="297">
        <v>6.2106154000000003E-6</v>
      </c>
      <c r="F29" s="297">
        <v>1.0547894E-5</v>
      </c>
      <c r="G29" s="297">
        <v>3.5391137000000002E-5</v>
      </c>
      <c r="H29" s="297">
        <v>-4.6915793999999999E-5</v>
      </c>
      <c r="M29" t="s">
        <v>559</v>
      </c>
      <c r="N29">
        <v>0.1</v>
      </c>
      <c r="O29">
        <v>0.2</v>
      </c>
    </row>
    <row r="30" spans="1:15">
      <c r="A30" s="283">
        <v>5</v>
      </c>
      <c r="M30" t="s">
        <v>560</v>
      </c>
      <c r="N30">
        <v>1.1000000000000001</v>
      </c>
      <c r="O30">
        <v>1.2</v>
      </c>
    </row>
    <row r="31" spans="1:15">
      <c r="A31" s="283">
        <v>10</v>
      </c>
    </row>
    <row r="32" spans="1:15">
      <c r="A32" s="283">
        <v>15</v>
      </c>
    </row>
    <row r="33" spans="1:8">
      <c r="A33" s="283">
        <v>20</v>
      </c>
    </row>
    <row r="34" spans="1:8">
      <c r="A34" s="283">
        <v>25</v>
      </c>
    </row>
    <row r="35" spans="1:8">
      <c r="A35" s="283">
        <v>30</v>
      </c>
    </row>
    <row r="36" spans="1:8">
      <c r="A36" s="283" t="s">
        <v>545</v>
      </c>
    </row>
    <row r="37" spans="1:8">
      <c r="A37" s="283">
        <v>0</v>
      </c>
      <c r="B37" s="284">
        <v>-8.4067850000000004E-4</v>
      </c>
      <c r="C37" s="297">
        <v>-9.9430001999999994E-6</v>
      </c>
      <c r="D37" s="284">
        <v>-2.8579856000000002E-3</v>
      </c>
      <c r="E37" s="284">
        <v>-2.7765043000000001E-3</v>
      </c>
      <c r="F37" s="284">
        <v>-3.5801428E-3</v>
      </c>
      <c r="G37" s="284">
        <v>-1.2667222000000001E-2</v>
      </c>
      <c r="H37" s="284">
        <v>1.9839978</v>
      </c>
    </row>
    <row r="38" spans="1:8">
      <c r="A38" s="283">
        <v>5</v>
      </c>
    </row>
    <row r="39" spans="1:8">
      <c r="A39" s="283">
        <v>10</v>
      </c>
    </row>
    <row r="40" spans="1:8">
      <c r="A40" s="283">
        <v>15</v>
      </c>
    </row>
    <row r="41" spans="1:8">
      <c r="A41" s="283">
        <v>20</v>
      </c>
    </row>
    <row r="42" spans="1:8">
      <c r="A42" s="283">
        <v>25</v>
      </c>
    </row>
    <row r="43" spans="1:8">
      <c r="A43" s="283">
        <v>30</v>
      </c>
    </row>
    <row r="44" spans="1:8">
      <c r="A44" s="283" t="s">
        <v>544</v>
      </c>
    </row>
    <row r="45" spans="1:8">
      <c r="A45" s="283">
        <v>0</v>
      </c>
      <c r="B45" s="284">
        <v>-1.254186E-3</v>
      </c>
      <c r="C45" s="284">
        <v>-3.3242160000000001E-3</v>
      </c>
      <c r="D45" s="284">
        <v>-2.7258663000000001E-3</v>
      </c>
      <c r="E45" s="284">
        <v>-5.7863556000000002E-3</v>
      </c>
      <c r="F45" s="284">
        <v>-6.2785508000000002E-3</v>
      </c>
      <c r="G45" s="284">
        <v>2.9580740000000001E-2</v>
      </c>
      <c r="H45" s="284">
        <v>-1.2803529</v>
      </c>
    </row>
    <row r="46" spans="1:8">
      <c r="A46" s="283">
        <v>5</v>
      </c>
    </row>
    <row r="47" spans="1:8">
      <c r="A47" s="283">
        <v>10</v>
      </c>
    </row>
    <row r="48" spans="1:8">
      <c r="A48" s="283">
        <v>15</v>
      </c>
    </row>
    <row r="49" spans="1:11">
      <c r="A49" s="283">
        <v>20</v>
      </c>
    </row>
    <row r="50" spans="1:11">
      <c r="A50" s="283">
        <v>25</v>
      </c>
    </row>
    <row r="51" spans="1:11">
      <c r="A51" s="283">
        <v>30</v>
      </c>
    </row>
    <row r="52" spans="1:11">
      <c r="B52" s="296"/>
      <c r="C52" s="296"/>
      <c r="D52" s="296"/>
      <c r="E52" s="296"/>
      <c r="F52" s="296"/>
      <c r="G52" s="296"/>
      <c r="H52" s="296"/>
      <c r="I52" s="296"/>
      <c r="J52" s="296"/>
      <c r="K52" s="296"/>
    </row>
    <row r="53" spans="1:11" s="304" customFormat="1">
      <c r="A53" s="282" t="s">
        <v>518</v>
      </c>
      <c r="B53" s="303"/>
      <c r="C53" s="303"/>
      <c r="D53" s="303"/>
      <c r="E53" s="303"/>
      <c r="F53" s="303"/>
      <c r="G53" s="303"/>
      <c r="H53" s="303"/>
      <c r="I53" s="303"/>
      <c r="J53" s="303"/>
      <c r="K53" s="303"/>
    </row>
    <row r="54" spans="1:11">
      <c r="A54" s="283" t="s">
        <v>513</v>
      </c>
      <c r="B54" s="284">
        <f t="shared" ref="B54:H54" si="2">B5/(B$3*$N$24)</f>
        <v>5.9608326487816711E-4</v>
      </c>
      <c r="C54" s="284">
        <f t="shared" si="2"/>
        <v>2.1742977754906143E-5</v>
      </c>
      <c r="D54" s="284">
        <f t="shared" si="2"/>
        <v>7.696088781144652E-5</v>
      </c>
      <c r="E54" s="284">
        <f t="shared" si="2"/>
        <v>3.2385608009917467E-5</v>
      </c>
      <c r="F54" s="284">
        <f t="shared" si="2"/>
        <v>2.1434800893124218E-5</v>
      </c>
      <c r="G54" s="284">
        <f t="shared" si="2"/>
        <v>5.3541138220409384E-6</v>
      </c>
      <c r="H54" s="284">
        <f t="shared" si="2"/>
        <v>1.644779855128683E-3</v>
      </c>
    </row>
    <row r="55" spans="1:11">
      <c r="A55" s="283">
        <v>0</v>
      </c>
    </row>
    <row r="56" spans="1:11">
      <c r="A56" s="283">
        <v>5</v>
      </c>
    </row>
    <row r="57" spans="1:11">
      <c r="A57" s="283">
        <v>10</v>
      </c>
    </row>
    <row r="58" spans="1:11">
      <c r="A58" s="283">
        <v>15</v>
      </c>
    </row>
    <row r="59" spans="1:11">
      <c r="A59" s="283">
        <v>20</v>
      </c>
    </row>
    <row r="60" spans="1:11">
      <c r="A60" s="283">
        <v>25</v>
      </c>
    </row>
    <row r="61" spans="1:11">
      <c r="A61" s="283">
        <v>30</v>
      </c>
    </row>
    <row r="62" spans="1:11" s="267" customFormat="1">
      <c r="A62" s="298" t="s">
        <v>553</v>
      </c>
      <c r="B62" s="299"/>
      <c r="C62" s="299"/>
      <c r="D62" s="299"/>
      <c r="E62" s="299"/>
      <c r="F62" s="299"/>
      <c r="G62" s="299"/>
      <c r="H62" s="299"/>
      <c r="I62" s="299"/>
      <c r="J62" s="299"/>
      <c r="K62" s="299"/>
    </row>
    <row r="63" spans="1:11">
      <c r="A63" s="283" t="s">
        <v>514</v>
      </c>
    </row>
    <row r="64" spans="1:11">
      <c r="A64" s="283">
        <v>0</v>
      </c>
      <c r="B64" s="284">
        <f t="shared" ref="B64:H64" si="3">B13/(B$3*$N$24)</f>
        <v>8.5639529485219358E-4</v>
      </c>
      <c r="C64" s="284">
        <f t="shared" si="3"/>
        <v>7.7457680288384049E-4</v>
      </c>
      <c r="D64" s="284">
        <f t="shared" si="3"/>
        <v>5.3720081578900259E-5</v>
      </c>
      <c r="E64" s="284">
        <f t="shared" si="3"/>
        <v>3.5693711078080687E-5</v>
      </c>
      <c r="F64" s="284">
        <f t="shared" si="3"/>
        <v>8.5059167228536022E-6</v>
      </c>
      <c r="G64" s="284">
        <f t="shared" si="3"/>
        <v>3.690723790584279E-5</v>
      </c>
      <c r="H64" s="284">
        <f t="shared" si="3"/>
        <v>7.8787218755553817E-4</v>
      </c>
    </row>
    <row r="65" spans="1:11">
      <c r="A65" s="283">
        <v>5</v>
      </c>
    </row>
    <row r="66" spans="1:11">
      <c r="A66" s="283">
        <v>10</v>
      </c>
    </row>
    <row r="67" spans="1:11">
      <c r="A67" s="283">
        <v>15</v>
      </c>
    </row>
    <row r="68" spans="1:11">
      <c r="A68" s="283">
        <v>20</v>
      </c>
    </row>
    <row r="69" spans="1:11">
      <c r="A69" s="283">
        <v>25</v>
      </c>
    </row>
    <row r="70" spans="1:11">
      <c r="A70" s="283">
        <v>30</v>
      </c>
    </row>
    <row r="71" spans="1:11" s="267" customFormat="1">
      <c r="A71" s="298" t="s">
        <v>554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</row>
    <row r="72" spans="1:11">
      <c r="A72" s="283" t="s">
        <v>515</v>
      </c>
    </row>
    <row r="73" spans="1:11">
      <c r="A73" s="283">
        <v>0</v>
      </c>
      <c r="B73" s="284">
        <f t="shared" ref="B73:H73" si="4">B21/(B$3*$N$24)</f>
        <v>0.12567454305338407</v>
      </c>
      <c r="C73" s="284">
        <f t="shared" si="4"/>
        <v>0.12007438294015456</v>
      </c>
      <c r="D73" s="284">
        <f t="shared" si="4"/>
        <v>0.11271263043998611</v>
      </c>
      <c r="E73" s="284">
        <f t="shared" si="4"/>
        <v>0.11108879963246278</v>
      </c>
      <c r="F73" s="284">
        <f t="shared" si="4"/>
        <v>0.11239095157895279</v>
      </c>
      <c r="G73" s="284">
        <f t="shared" si="4"/>
        <v>0.19203803421271132</v>
      </c>
      <c r="H73" s="284">
        <f t="shared" si="4"/>
        <v>0.2597972914279259</v>
      </c>
    </row>
    <row r="74" spans="1:11">
      <c r="A74" s="283">
        <v>5</v>
      </c>
    </row>
    <row r="75" spans="1:11">
      <c r="A75" s="283">
        <v>10</v>
      </c>
    </row>
    <row r="76" spans="1:11">
      <c r="A76" s="283">
        <v>15</v>
      </c>
    </row>
    <row r="77" spans="1:11">
      <c r="A77" s="283">
        <v>20</v>
      </c>
    </row>
    <row r="78" spans="1:11">
      <c r="A78" s="283">
        <v>25</v>
      </c>
    </row>
    <row r="79" spans="1:11">
      <c r="A79" s="283">
        <v>30</v>
      </c>
    </row>
    <row r="80" spans="1:11" s="302" customFormat="1">
      <c r="A80" s="300" t="s">
        <v>555</v>
      </c>
      <c r="B80" s="301"/>
      <c r="C80" s="301"/>
      <c r="D80" s="301"/>
      <c r="E80" s="301"/>
      <c r="F80" s="301"/>
      <c r="G80" s="301"/>
      <c r="H80" s="301"/>
      <c r="I80" s="301"/>
      <c r="J80" s="301"/>
      <c r="K80" s="301"/>
    </row>
    <row r="81" spans="1:8">
      <c r="A81" s="283" t="s">
        <v>551</v>
      </c>
    </row>
    <row r="82" spans="1:8">
      <c r="A82" s="283">
        <v>0</v>
      </c>
      <c r="B82" s="284">
        <f t="shared" ref="B82:H82" si="5">B37/B5</f>
        <v>-0.39930727654120662</v>
      </c>
      <c r="C82" s="284">
        <f t="shared" si="5"/>
        <v>-4.6610647947528304E-2</v>
      </c>
      <c r="D82" s="284">
        <f t="shared" si="5"/>
        <v>-0.42056601112583708</v>
      </c>
      <c r="E82" s="284">
        <f t="shared" si="5"/>
        <v>-0.34953687600147854</v>
      </c>
      <c r="F82" s="284">
        <f t="shared" si="5"/>
        <v>-0.34743337042052802</v>
      </c>
      <c r="G82" s="284">
        <f t="shared" si="5"/>
        <v>-2.4114624068603963</v>
      </c>
      <c r="H82" s="284">
        <f t="shared" si="5"/>
        <v>0.54643386097952507</v>
      </c>
    </row>
    <row r="83" spans="1:8">
      <c r="A83" s="283">
        <v>5</v>
      </c>
    </row>
    <row r="84" spans="1:8">
      <c r="A84" s="283">
        <v>10</v>
      </c>
    </row>
    <row r="85" spans="1:8">
      <c r="A85" s="283">
        <v>15</v>
      </c>
    </row>
    <row r="86" spans="1:8">
      <c r="A86" s="283">
        <v>20</v>
      </c>
    </row>
    <row r="87" spans="1:8">
      <c r="A87" s="283">
        <v>25</v>
      </c>
    </row>
    <row r="88" spans="1:8">
      <c r="A88" s="283">
        <v>30</v>
      </c>
    </row>
    <row r="89" spans="1:8">
      <c r="A89" s="283" t="s">
        <v>552</v>
      </c>
    </row>
    <row r="90" spans="1:8">
      <c r="A90" s="283">
        <v>0</v>
      </c>
      <c r="B90" s="284">
        <f t="shared" ref="B90:H90" si="6">B45/B13</f>
        <v>-0.41464066168686775</v>
      </c>
      <c r="C90" s="284">
        <f t="shared" si="6"/>
        <v>-0.43743291880967239</v>
      </c>
      <c r="D90" s="284">
        <f t="shared" si="6"/>
        <v>-0.57466148543661322</v>
      </c>
      <c r="E90" s="284">
        <f t="shared" si="6"/>
        <v>-0.66093708494079895</v>
      </c>
      <c r="F90" s="284">
        <f t="shared" si="6"/>
        <v>-1.5354261032797718</v>
      </c>
      <c r="G90" s="284">
        <f t="shared" si="6"/>
        <v>0.81692879353958603</v>
      </c>
      <c r="H90" s="284">
        <f t="shared" si="6"/>
        <v>-0.7361699996584653</v>
      </c>
    </row>
    <row r="91" spans="1:8">
      <c r="A91" s="283">
        <v>5</v>
      </c>
    </row>
    <row r="92" spans="1:8">
      <c r="A92" s="283">
        <v>10</v>
      </c>
    </row>
    <row r="93" spans="1:8">
      <c r="A93" s="283">
        <v>15</v>
      </c>
    </row>
    <row r="94" spans="1:8">
      <c r="A94" s="283">
        <v>20</v>
      </c>
    </row>
    <row r="95" spans="1:8">
      <c r="A95" s="283">
        <v>25</v>
      </c>
    </row>
    <row r="96" spans="1:8">
      <c r="A96" s="283">
        <v>30</v>
      </c>
    </row>
  </sheetData>
  <pageMargins left="0.7" right="0.7" top="0.75" bottom="0.75" header="0.3" footer="0.3"/>
  <pageSetup orientation="portrait" r:id="rId1"/>
  <customProperties>
    <customPr name="DynardoMOPSolver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M20" sqref="M20"/>
    </sheetView>
  </sheetViews>
  <sheetFormatPr defaultRowHeight="14.5"/>
  <cols>
    <col min="1" max="1" width="10.453125" customWidth="1"/>
  </cols>
  <sheetData>
    <row r="1" spans="1:8" ht="42.75" customHeight="1">
      <c r="A1" s="361" t="s">
        <v>556</v>
      </c>
      <c r="B1" s="361"/>
      <c r="C1" s="305">
        <v>0.5</v>
      </c>
      <c r="D1" s="305">
        <v>1</v>
      </c>
      <c r="E1" s="305">
        <v>1.5</v>
      </c>
      <c r="F1" s="305">
        <v>3</v>
      </c>
      <c r="G1" s="305">
        <v>5</v>
      </c>
      <c r="H1" s="306" t="s">
        <v>176</v>
      </c>
    </row>
    <row r="2" spans="1:8">
      <c r="A2" s="267">
        <v>3</v>
      </c>
      <c r="B2" s="267">
        <f>A2*2.54</f>
        <v>7.62</v>
      </c>
      <c r="C2">
        <f>B2*C$1</f>
        <v>3.81</v>
      </c>
      <c r="D2">
        <f t="shared" ref="D2:G2" si="0">C2*D$1</f>
        <v>3.81</v>
      </c>
      <c r="E2">
        <f t="shared" si="0"/>
        <v>5.7149999999999999</v>
      </c>
      <c r="F2">
        <f t="shared" si="0"/>
        <v>17.145</v>
      </c>
      <c r="G2">
        <f t="shared" si="0"/>
        <v>85.724999999999994</v>
      </c>
    </row>
    <row r="3" spans="1:8">
      <c r="A3" s="267">
        <v>5</v>
      </c>
      <c r="B3" s="267">
        <f t="shared" ref="B3:B4" si="1">A3*2.54</f>
        <v>12.7</v>
      </c>
      <c r="C3">
        <f t="shared" ref="C3:G3" si="2">B3*C$1</f>
        <v>6.35</v>
      </c>
      <c r="D3">
        <f t="shared" si="2"/>
        <v>6.35</v>
      </c>
      <c r="E3">
        <f t="shared" si="2"/>
        <v>9.5249999999999986</v>
      </c>
      <c r="F3">
        <f t="shared" si="2"/>
        <v>28.574999999999996</v>
      </c>
      <c r="G3">
        <f t="shared" si="2"/>
        <v>142.87499999999997</v>
      </c>
    </row>
    <row r="4" spans="1:8">
      <c r="A4" s="267">
        <v>8</v>
      </c>
      <c r="B4" s="267">
        <f t="shared" si="1"/>
        <v>20.32</v>
      </c>
      <c r="C4">
        <f>B4*C$1</f>
        <v>10.16</v>
      </c>
      <c r="D4">
        <f t="shared" ref="D4:G4" si="3">C4*D$1</f>
        <v>10.16</v>
      </c>
      <c r="E4">
        <f t="shared" si="3"/>
        <v>15.24</v>
      </c>
      <c r="F4">
        <f t="shared" si="3"/>
        <v>45.72</v>
      </c>
      <c r="G4">
        <f t="shared" si="3"/>
        <v>228.6</v>
      </c>
    </row>
    <row r="6" spans="1:8" ht="28.5" customHeight="1">
      <c r="A6" s="361" t="s">
        <v>557</v>
      </c>
      <c r="B6" s="361"/>
      <c r="C6">
        <v>50</v>
      </c>
      <c r="D6">
        <v>100</v>
      </c>
      <c r="E6">
        <v>200</v>
      </c>
      <c r="F6">
        <v>300</v>
      </c>
    </row>
    <row r="7" spans="1:8">
      <c r="A7" s="267">
        <v>3</v>
      </c>
      <c r="B7" s="267">
        <f>A7*2.54</f>
        <v>7.62</v>
      </c>
      <c r="C7" s="305">
        <f>C$6/B7</f>
        <v>6.5616797900262469</v>
      </c>
      <c r="D7" s="305">
        <f t="shared" ref="D7:F7" si="4">D$6/C7</f>
        <v>15.24</v>
      </c>
      <c r="E7" s="305">
        <f t="shared" si="4"/>
        <v>13.123359580052494</v>
      </c>
      <c r="F7" s="305">
        <f t="shared" si="4"/>
        <v>22.86</v>
      </c>
      <c r="G7" s="362" t="s">
        <v>176</v>
      </c>
    </row>
    <row r="8" spans="1:8">
      <c r="A8" s="267">
        <v>5</v>
      </c>
      <c r="B8" s="267">
        <f t="shared" ref="B8:B9" si="5">A8*2.54</f>
        <v>12.7</v>
      </c>
      <c r="C8" s="305">
        <f t="shared" ref="C8:F8" si="6">C$6/B8</f>
        <v>3.9370078740157481</v>
      </c>
      <c r="D8" s="305">
        <f t="shared" si="6"/>
        <v>25.4</v>
      </c>
      <c r="E8" s="305">
        <f t="shared" si="6"/>
        <v>7.8740157480314963</v>
      </c>
      <c r="F8" s="305">
        <f t="shared" si="6"/>
        <v>38.1</v>
      </c>
      <c r="G8" s="362"/>
    </row>
    <row r="9" spans="1:8">
      <c r="A9" s="267">
        <v>8</v>
      </c>
      <c r="B9" s="267">
        <f t="shared" si="5"/>
        <v>20.32</v>
      </c>
      <c r="C9" s="305">
        <f t="shared" ref="C9:F9" si="7">C$6/B9</f>
        <v>2.4606299212598426</v>
      </c>
      <c r="D9" s="305">
        <f t="shared" si="7"/>
        <v>40.64</v>
      </c>
      <c r="E9" s="305">
        <f t="shared" si="7"/>
        <v>4.9212598425196852</v>
      </c>
      <c r="F9" s="305">
        <f t="shared" si="7"/>
        <v>60.96</v>
      </c>
      <c r="G9" s="362"/>
    </row>
  </sheetData>
  <mergeCells count="3">
    <mergeCell ref="A1:B1"/>
    <mergeCell ref="A6:B6"/>
    <mergeCell ref="G7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criptIds xmlns="http://schemas.microsoft.com/office/extensibility/maker/v1.0" id="script-ids-node-id">
  <scriptId id="ms-officescript%3A%2F%2Fonedrive_business_itemlink%2F01TZZHJOP2CWSL3XUZNNHKHVGU4KCQQGAX:ms-officescript%3A%2F%2Fonedrive_business_sharinglink%2Fu!aHR0cHM6Ly91YW5sZWR1LW15LnNoYXJlcG9pbnQuY29tLzp1Oi9nL3BlcnNvbmFsL2p1YW5fdmFsYWRlem9fdWFubF9lZHVfbXgvRWZvVnBMM2VtV3RPbzlUVTRvVUlHQmNCRlJyQnlnX2V0OW1LWVd3VTNFU3NaUQ"/>
</scriptId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16C8A108E61840AFB84A4598B73E55" ma:contentTypeVersion="13" ma:contentTypeDescription="Create a new document." ma:contentTypeScope="" ma:versionID="b1d8d0092a91b491fa162699921cd7b6">
  <xsd:schema xmlns:xsd="http://www.w3.org/2001/XMLSchema" xmlns:xs="http://www.w3.org/2001/XMLSchema" xmlns:p="http://schemas.microsoft.com/office/2006/metadata/properties" xmlns:ns2="f5cf7016-d570-4e66-bed5-9c66354e4d60" xmlns:ns3="d7929c02-2ff7-4e2f-b3f4-5d7437463a37" targetNamespace="http://schemas.microsoft.com/office/2006/metadata/properties" ma:root="true" ma:fieldsID="dc769dae83c42ca581dc5110a4ef7ce3" ns2:_="" ns3:_="">
    <xsd:import namespace="f5cf7016-d570-4e66-bed5-9c66354e4d60"/>
    <xsd:import namespace="d7929c02-2ff7-4e2f-b3f4-5d7437463a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f7016-d570-4e66-bed5-9c66354e4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29c02-2ff7-4e2f-b3f4-5d7437463a3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7f79f0-00bf-4ada-a9c4-09416d341803}" ma:internalName="TaxCatchAll" ma:showField="CatchAllData" ma:web="d7929c02-2ff7-4e2f-b3f4-5d7437463a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929c02-2ff7-4e2f-b3f4-5d7437463a37" xsi:nil="true"/>
    <lcf76f155ced4ddcb4097134ff3c332f xmlns="f5cf7016-d570-4e66-bed5-9c66354e4d60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5861E-CBEF-4CC0-85FE-9F52CCE55DFF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B0BA7C14-35B6-43AC-B57B-4A5107295D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f7016-d570-4e66-bed5-9c66354e4d60"/>
    <ds:schemaRef ds:uri="d7929c02-2ff7-4e2f-b3f4-5d7437463a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2FDC09-86A2-4A8D-9C5A-BD852817852F}">
  <ds:schemaRefs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7929c02-2ff7-4e2f-b3f4-5d7437463a37"/>
    <ds:schemaRef ds:uri="f5cf7016-d570-4e66-bed5-9c66354e4d60"/>
  </ds:schemaRefs>
</ds:datastoreItem>
</file>

<file path=customXml/itemProps4.xml><?xml version="1.0" encoding="utf-8"?>
<ds:datastoreItem xmlns:ds="http://schemas.openxmlformats.org/officeDocument/2006/customXml" ds:itemID="{D345C14D-6BDC-44A0-B15C-89E893AF06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Manual rev.1</vt:lpstr>
      <vt:lpstr>Statistics</vt:lpstr>
      <vt:lpstr>Geometry</vt:lpstr>
      <vt:lpstr>Forces balance</vt:lpstr>
      <vt:lpstr>Worst Load</vt:lpstr>
      <vt:lpstr>FinAeroDesign 2.0</vt:lpstr>
      <vt:lpstr>CFD fins</vt:lpstr>
      <vt:lpstr>CFD forebody</vt:lpstr>
      <vt:lpstr>Future CFD forebody</vt:lpstr>
      <vt:lpstr>RocketData</vt:lpstr>
      <vt:lpstr>Stability</vt:lpstr>
      <vt:lpstr>CFD fuselage</vt:lpstr>
      <vt:lpstr>CFD boat-tail</vt:lpstr>
      <vt:lpstr>CFD rocket</vt:lpstr>
      <vt:lpstr>OpenRocket</vt:lpstr>
      <vt:lpstr>Airflow</vt:lpstr>
      <vt:lpstr>AoAfins</vt:lpstr>
      <vt:lpstr>AoSfins</vt:lpstr>
      <vt:lpstr>CrossSecAreaRocket</vt:lpstr>
      <vt:lpstr>DiameterRocket</vt:lpstr>
      <vt:lpstr>LargeOgive</vt:lpstr>
      <vt:lpstr>LengthRocket</vt:lpstr>
      <vt:lpstr>Rogive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LEONARDO VALADEZ ORTIZ</cp:lastModifiedBy>
  <cp:revision/>
  <dcterms:created xsi:type="dcterms:W3CDTF">2024-07-02T19:27:32Z</dcterms:created>
  <dcterms:modified xsi:type="dcterms:W3CDTF">2025-07-24T07:41:14Z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0x0101006416C8A108E61840AFB84A4598B73E55</vt:lpwstr>
  </property>
  <property fmtid="{D5CDD505-2E9C-101B-9397-08002B2CF9AE}" pid="3" name="MediaServiceImageTags">
    <vt:lpwstr/>
  </property>
</Properties>
</file>