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6.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ustomProperty7.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RocketData" sheetId="14" r:id="rId7"/>
    <sheet name="Aerodynamic design" sheetId="13" r:id="rId8"/>
    <sheet name="Stability" sheetId="19" r:id="rId9"/>
    <sheet name="CFD fins" sheetId="9" r:id="rId10"/>
    <sheet name="CFD forebody" sheetId="2" r:id="rId11"/>
    <sheet name="CFD fuselage" sheetId="10" state="hidden" r:id="rId12"/>
    <sheet name="CFD boat-tail" sheetId="11" state="hidden" r:id="rId13"/>
    <sheet name="CFD rocket" sheetId="12" state="hidden" r:id="rId14"/>
    <sheet name="OpenRocket" sheetId="6" state="hidden" r:id="rId15"/>
  </sheets>
  <externalReferences>
    <externalReference r:id="rId16"/>
  </externalReference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4" i="17" l="1"/>
  <c r="I164" i="17"/>
  <c r="H164" i="17"/>
  <c r="G164" i="17"/>
  <c r="F164" i="17"/>
  <c r="E164" i="17"/>
  <c r="D164" i="17"/>
  <c r="C164" i="17"/>
  <c r="J163" i="17"/>
  <c r="I163" i="17"/>
  <c r="H163" i="17"/>
  <c r="G163" i="17"/>
  <c r="F163" i="17"/>
  <c r="E163" i="17"/>
  <c r="D163" i="17"/>
  <c r="C163" i="17"/>
  <c r="J162" i="17"/>
  <c r="I162" i="17"/>
  <c r="H162" i="17"/>
  <c r="G162" i="17"/>
  <c r="F162" i="17"/>
  <c r="E162" i="17"/>
  <c r="D162" i="17"/>
  <c r="D159" i="17" s="1"/>
  <c r="C162" i="17"/>
  <c r="J161" i="17"/>
  <c r="I161" i="17"/>
  <c r="H161" i="17"/>
  <c r="G161" i="17"/>
  <c r="F161" i="17"/>
  <c r="E161" i="17"/>
  <c r="D161" i="17"/>
  <c r="C161" i="17"/>
  <c r="J160" i="17"/>
  <c r="I160" i="17"/>
  <c r="I159" i="17" s="1"/>
  <c r="H160" i="17"/>
  <c r="H159" i="17" s="1"/>
  <c r="G160" i="17"/>
  <c r="F160" i="17"/>
  <c r="E160" i="17"/>
  <c r="E159" i="17" s="1"/>
  <c r="D160" i="17"/>
  <c r="C160" i="17"/>
  <c r="C159" i="17" s="1"/>
  <c r="J159" i="17"/>
  <c r="G159" i="17"/>
  <c r="D103" i="17"/>
  <c r="J100" i="17"/>
  <c r="I100" i="17"/>
  <c r="H100" i="17"/>
  <c r="G100" i="17"/>
  <c r="F100" i="17"/>
  <c r="E100" i="17"/>
  <c r="D100" i="17"/>
  <c r="C100" i="17"/>
  <c r="J94" i="17"/>
  <c r="I94" i="17"/>
  <c r="H94" i="17"/>
  <c r="G94" i="17"/>
  <c r="F94" i="17"/>
  <c r="E94" i="17"/>
  <c r="D94" i="17"/>
  <c r="C94" i="17"/>
  <c r="J57" i="17"/>
  <c r="E57" i="17"/>
  <c r="D57" i="17"/>
  <c r="D58" i="17" s="1"/>
  <c r="D59" i="17" s="1"/>
  <c r="J55" i="17"/>
  <c r="I55" i="17"/>
  <c r="H55" i="17"/>
  <c r="G55" i="17"/>
  <c r="F55" i="17"/>
  <c r="E55" i="17"/>
  <c r="D55" i="17"/>
  <c r="C55" i="17"/>
  <c r="I54" i="17"/>
  <c r="I57" i="17" s="1"/>
  <c r="F54" i="17"/>
  <c r="F57" i="17" s="1"/>
  <c r="F58" i="17" s="1"/>
  <c r="F70" i="17" s="1"/>
  <c r="C54" i="17"/>
  <c r="C57" i="17" s="1"/>
  <c r="J48" i="17"/>
  <c r="J54" i="17" s="1"/>
  <c r="I48" i="17"/>
  <c r="H48" i="17"/>
  <c r="H54" i="17" s="1"/>
  <c r="H57" i="17" s="1"/>
  <c r="G48" i="17"/>
  <c r="G54" i="17" s="1"/>
  <c r="G57" i="17" s="1"/>
  <c r="F48" i="17"/>
  <c r="E48" i="17"/>
  <c r="E54" i="17" s="1"/>
  <c r="D48" i="17"/>
  <c r="D54" i="17" s="1"/>
  <c r="C48" i="17"/>
  <c r="J44" i="17"/>
  <c r="I44" i="17"/>
  <c r="H44" i="17"/>
  <c r="G44" i="17"/>
  <c r="F44" i="17"/>
  <c r="E44" i="17"/>
  <c r="D44" i="17"/>
  <c r="C44" i="17"/>
  <c r="J42" i="17"/>
  <c r="I42" i="17"/>
  <c r="H42" i="17"/>
  <c r="G42" i="17"/>
  <c r="F42" i="17"/>
  <c r="E42" i="17"/>
  <c r="D42" i="17"/>
  <c r="C42" i="17"/>
  <c r="J40" i="17"/>
  <c r="I40" i="17"/>
  <c r="H40" i="17"/>
  <c r="G40" i="17"/>
  <c r="F40" i="17"/>
  <c r="E40" i="17"/>
  <c r="D40" i="17"/>
  <c r="C40" i="17"/>
  <c r="J38" i="17"/>
  <c r="J103" i="17" s="1"/>
  <c r="I38" i="17"/>
  <c r="H38" i="17"/>
  <c r="G38" i="17"/>
  <c r="G103" i="17" s="1"/>
  <c r="F38" i="17"/>
  <c r="E38" i="17"/>
  <c r="D38" i="17"/>
  <c r="D50" i="17" s="1"/>
  <c r="C38" i="17"/>
  <c r="J33" i="17"/>
  <c r="J34" i="17" s="1"/>
  <c r="I33" i="17"/>
  <c r="I34" i="17" s="1"/>
  <c r="H33" i="17"/>
  <c r="H34" i="17" s="1"/>
  <c r="G33" i="17"/>
  <c r="G45" i="17" s="1"/>
  <c r="G46" i="17" s="1"/>
  <c r="F33" i="17"/>
  <c r="F34" i="17" s="1"/>
  <c r="E33" i="17"/>
  <c r="D33" i="17"/>
  <c r="D45" i="17" s="1"/>
  <c r="D46" i="17" s="1"/>
  <c r="C33" i="17"/>
  <c r="C45" i="17" s="1"/>
  <c r="C46" i="17" s="1"/>
  <c r="J30" i="17"/>
  <c r="I30" i="17"/>
  <c r="H30" i="17"/>
  <c r="G30" i="17"/>
  <c r="F30" i="17"/>
  <c r="E30" i="17"/>
  <c r="D30" i="17"/>
  <c r="C30" i="17"/>
  <c r="J19" i="17"/>
  <c r="F19" i="17"/>
  <c r="F20" i="17" s="1"/>
  <c r="E19" i="17"/>
  <c r="E101" i="17" s="1"/>
  <c r="D19" i="17"/>
  <c r="F18" i="17"/>
  <c r="E18" i="17"/>
  <c r="J17" i="17"/>
  <c r="I17" i="17"/>
  <c r="I19" i="17" s="1"/>
  <c r="H17" i="17"/>
  <c r="H19" i="17" s="1"/>
  <c r="H101" i="17" s="1"/>
  <c r="G17" i="17"/>
  <c r="G19" i="17" s="1"/>
  <c r="F17" i="17"/>
  <c r="E17" i="17"/>
  <c r="D17" i="17"/>
  <c r="C17" i="17"/>
  <c r="C8" i="17" s="1"/>
  <c r="C2" i="17" s="1"/>
  <c r="F16" i="17"/>
  <c r="I15" i="17"/>
  <c r="I16" i="17" s="1"/>
  <c r="H15" i="17"/>
  <c r="H16" i="17" s="1"/>
  <c r="F15" i="17"/>
  <c r="E15" i="17"/>
  <c r="E16" i="17" s="1"/>
  <c r="C15" i="17"/>
  <c r="C16" i="17" s="1"/>
  <c r="J12" i="17"/>
  <c r="I12" i="17"/>
  <c r="H12" i="17"/>
  <c r="G12" i="17"/>
  <c r="F12" i="17"/>
  <c r="E12" i="17"/>
  <c r="D12" i="17"/>
  <c r="C12" i="17"/>
  <c r="J11" i="17"/>
  <c r="I11" i="17"/>
  <c r="H11" i="17"/>
  <c r="G11" i="17"/>
  <c r="F11" i="17"/>
  <c r="E11" i="17"/>
  <c r="D11" i="17"/>
  <c r="C11" i="17"/>
  <c r="I8" i="17"/>
  <c r="I2" i="17" s="1"/>
  <c r="I4" i="17" s="1"/>
  <c r="I26" i="17" s="1"/>
  <c r="I28" i="17" s="1"/>
  <c r="H8" i="17"/>
  <c r="H2" i="17" s="1"/>
  <c r="G8" i="17"/>
  <c r="G2" i="17" s="1"/>
  <c r="F8" i="17"/>
  <c r="F2" i="17" s="1"/>
  <c r="F7" i="17" s="1"/>
  <c r="F93" i="17" s="1"/>
  <c r="F135" i="17" s="1"/>
  <c r="E8" i="17"/>
  <c r="E2" i="17" s="1"/>
  <c r="E5" i="17" s="1"/>
  <c r="E25" i="17" s="1"/>
  <c r="E27" i="17" s="1"/>
  <c r="B100" i="17"/>
  <c r="B101" i="17" s="1"/>
  <c r="B164" i="17"/>
  <c r="B8" i="17"/>
  <c r="B2" i="17" s="1"/>
  <c r="B7" i="17" s="1"/>
  <c r="B93" i="17" s="1"/>
  <c r="B11" i="17"/>
  <c r="B12" i="17"/>
  <c r="B17" i="17"/>
  <c r="B19" i="17" s="1"/>
  <c r="B18" i="17"/>
  <c r="B30" i="17"/>
  <c r="B33" i="17"/>
  <c r="B34" i="17" s="1"/>
  <c r="B38" i="17"/>
  <c r="B103" i="17" s="1"/>
  <c r="B40" i="17"/>
  <c r="B42" i="17"/>
  <c r="B44" i="17"/>
  <c r="B48" i="17"/>
  <c r="B54" i="17" s="1"/>
  <c r="B57" i="17" s="1"/>
  <c r="B55" i="17"/>
  <c r="B94" i="17"/>
  <c r="B161" i="17"/>
  <c r="B162" i="17"/>
  <c r="B163" i="17"/>
  <c r="B160" i="17"/>
  <c r="G34" i="17" l="1"/>
  <c r="D70" i="17"/>
  <c r="J101" i="17"/>
  <c r="D34" i="17"/>
  <c r="J35" i="17"/>
  <c r="J36" i="17" s="1"/>
  <c r="J45" i="17"/>
  <c r="J46" i="17" s="1"/>
  <c r="D35" i="17"/>
  <c r="D36" i="17" s="1"/>
  <c r="G35" i="17"/>
  <c r="G36" i="17" s="1"/>
  <c r="G49" i="17" s="1"/>
  <c r="G51" i="17" s="1"/>
  <c r="H35" i="17"/>
  <c r="H36" i="17" s="1"/>
  <c r="H45" i="17"/>
  <c r="H46" i="17" s="1"/>
  <c r="D71" i="17"/>
  <c r="D82" i="17" s="1"/>
  <c r="D60" i="17"/>
  <c r="I105" i="17"/>
  <c r="I97" i="17"/>
  <c r="I102" i="17" s="1"/>
  <c r="I29" i="17"/>
  <c r="I98" i="17"/>
  <c r="G4" i="17"/>
  <c r="G26" i="17" s="1"/>
  <c r="G28" i="17" s="1"/>
  <c r="G7" i="17"/>
  <c r="G93" i="17" s="1"/>
  <c r="G135" i="17" s="1"/>
  <c r="G5" i="17"/>
  <c r="G25" i="17" s="1"/>
  <c r="G27" i="17" s="1"/>
  <c r="H5" i="17"/>
  <c r="H25" i="17" s="1"/>
  <c r="H27" i="17" s="1"/>
  <c r="H4" i="17"/>
  <c r="H26" i="17" s="1"/>
  <c r="H28" i="17" s="1"/>
  <c r="H7" i="17"/>
  <c r="H93" i="17" s="1"/>
  <c r="H135" i="17" s="1"/>
  <c r="C97" i="17"/>
  <c r="C102" i="17" s="1"/>
  <c r="C29" i="17"/>
  <c r="C7" i="17"/>
  <c r="C93" i="17" s="1"/>
  <c r="C135" i="17" s="1"/>
  <c r="C5" i="17"/>
  <c r="C25" i="17" s="1"/>
  <c r="C27" i="17" s="1"/>
  <c r="C4" i="17"/>
  <c r="C26" i="17" s="1"/>
  <c r="C28" i="17" s="1"/>
  <c r="I101" i="17"/>
  <c r="I20" i="17"/>
  <c r="E108" i="17"/>
  <c r="E98" i="17"/>
  <c r="E97" i="17"/>
  <c r="E102" i="17" s="1"/>
  <c r="E29" i="17"/>
  <c r="H69" i="17"/>
  <c r="H58" i="17"/>
  <c r="H98" i="17"/>
  <c r="H29" i="17"/>
  <c r="H97" i="17"/>
  <c r="H102" i="17" s="1"/>
  <c r="E69" i="17"/>
  <c r="E58" i="17"/>
  <c r="F159" i="17"/>
  <c r="I5" i="17"/>
  <c r="I25" i="17" s="1"/>
  <c r="I27" i="17" s="1"/>
  <c r="I35" i="17"/>
  <c r="I36" i="17" s="1"/>
  <c r="I7" i="17"/>
  <c r="I93" i="17" s="1"/>
  <c r="I135" i="17" s="1"/>
  <c r="E4" i="17"/>
  <c r="E26" i="17" s="1"/>
  <c r="E28" i="17" s="1"/>
  <c r="F5" i="17"/>
  <c r="F25" i="17" s="1"/>
  <c r="F27" i="17" s="1"/>
  <c r="E7" i="17"/>
  <c r="E93" i="17" s="1"/>
  <c r="E135" i="17" s="1"/>
  <c r="G15" i="17"/>
  <c r="G16" i="17" s="1"/>
  <c r="G20" i="17" s="1"/>
  <c r="F97" i="17"/>
  <c r="F102" i="17" s="1"/>
  <c r="C18" i="17"/>
  <c r="C19" i="17"/>
  <c r="C98" i="17" s="1"/>
  <c r="G58" i="17"/>
  <c r="G69" i="17"/>
  <c r="C69" i="17"/>
  <c r="C58" i="17"/>
  <c r="D69" i="17"/>
  <c r="D81" i="17" s="1"/>
  <c r="F98" i="17"/>
  <c r="G101" i="17"/>
  <c r="I45" i="17"/>
  <c r="I46" i="17" s="1"/>
  <c r="G50" i="17"/>
  <c r="E20" i="17"/>
  <c r="J50" i="17"/>
  <c r="I69" i="17"/>
  <c r="J58" i="17"/>
  <c r="J69" i="17"/>
  <c r="D101" i="17"/>
  <c r="F29" i="17"/>
  <c r="F59" i="17"/>
  <c r="F69" i="17"/>
  <c r="F81" i="17" s="1"/>
  <c r="C103" i="17"/>
  <c r="C104" i="17" s="1"/>
  <c r="C50" i="17"/>
  <c r="C35" i="17"/>
  <c r="C36" i="17" s="1"/>
  <c r="C49" i="17" s="1"/>
  <c r="C51" i="17" s="1"/>
  <c r="I103" i="17"/>
  <c r="I104" i="17" s="1"/>
  <c r="I50" i="17"/>
  <c r="G18" i="17"/>
  <c r="E45" i="17"/>
  <c r="E46" i="17" s="1"/>
  <c r="E35" i="17"/>
  <c r="E36" i="17" s="1"/>
  <c r="C34" i="17"/>
  <c r="H18" i="17"/>
  <c r="F45" i="17"/>
  <c r="F46" i="17" s="1"/>
  <c r="F35" i="17"/>
  <c r="F36" i="17" s="1"/>
  <c r="E103" i="17"/>
  <c r="E106" i="17" s="1"/>
  <c r="E50" i="17"/>
  <c r="F4" i="17"/>
  <c r="F26" i="17" s="1"/>
  <c r="F28" i="17" s="1"/>
  <c r="D18" i="17"/>
  <c r="D15" i="17"/>
  <c r="D16" i="17" s="1"/>
  <c r="D8" i="17"/>
  <c r="D2" i="17" s="1"/>
  <c r="J18" i="17"/>
  <c r="J15" i="17"/>
  <c r="J16" i="17" s="1"/>
  <c r="J8" i="17"/>
  <c r="J2" i="17" s="1"/>
  <c r="I18" i="17"/>
  <c r="H20" i="17"/>
  <c r="E34" i="17"/>
  <c r="F103" i="17"/>
  <c r="F108" i="17" s="1"/>
  <c r="F50" i="17"/>
  <c r="D49" i="17"/>
  <c r="D51" i="17" s="1"/>
  <c r="D96" i="17" s="1"/>
  <c r="I58" i="17"/>
  <c r="H103" i="17"/>
  <c r="H107" i="17" s="1"/>
  <c r="H50" i="17"/>
  <c r="F101" i="17"/>
  <c r="B15" i="17"/>
  <c r="B16" i="17" s="1"/>
  <c r="B50" i="17"/>
  <c r="B58" i="17"/>
  <c r="B69" i="17"/>
  <c r="B45" i="17"/>
  <c r="B46" i="17" s="1"/>
  <c r="B35" i="17"/>
  <c r="B36" i="17" s="1"/>
  <c r="B49" i="17" s="1"/>
  <c r="B4" i="17"/>
  <c r="B26" i="17" s="1"/>
  <c r="B28" i="17" s="1"/>
  <c r="B159" i="17"/>
  <c r="E49" i="17" l="1"/>
  <c r="B51" i="17"/>
  <c r="H49" i="17"/>
  <c r="H51" i="17" s="1"/>
  <c r="E107" i="17"/>
  <c r="F105" i="17"/>
  <c r="B29" i="17"/>
  <c r="B104" i="17"/>
  <c r="B110" i="17" s="1"/>
  <c r="J49" i="17"/>
  <c r="J51" i="17" s="1"/>
  <c r="J96" i="17" s="1"/>
  <c r="B107" i="17"/>
  <c r="B113" i="17" s="1"/>
  <c r="B106" i="17"/>
  <c r="B112" i="17" s="1"/>
  <c r="I49" i="17"/>
  <c r="I51" i="17" s="1"/>
  <c r="B105" i="17"/>
  <c r="B111" i="17" s="1"/>
  <c r="B97" i="17"/>
  <c r="B102" i="17" s="1"/>
  <c r="B108" i="17"/>
  <c r="B114" i="17" s="1"/>
  <c r="B98" i="17"/>
  <c r="B20" i="17"/>
  <c r="G95" i="17"/>
  <c r="G96" i="17"/>
  <c r="C95" i="17"/>
  <c r="C96" i="17"/>
  <c r="D108" i="17"/>
  <c r="D105" i="17"/>
  <c r="D98" i="17"/>
  <c r="D107" i="17"/>
  <c r="D104" i="17"/>
  <c r="D97" i="17"/>
  <c r="D102" i="17" s="1"/>
  <c r="D29" i="17"/>
  <c r="D106" i="17"/>
  <c r="J4" i="17"/>
  <c r="J26" i="17" s="1"/>
  <c r="J28" i="17" s="1"/>
  <c r="J7" i="17"/>
  <c r="J93" i="17" s="1"/>
  <c r="J135" i="17" s="1"/>
  <c r="J5" i="17"/>
  <c r="J25" i="17" s="1"/>
  <c r="J27" i="17" s="1"/>
  <c r="F106" i="17"/>
  <c r="E104" i="17"/>
  <c r="C107" i="17"/>
  <c r="I107" i="17"/>
  <c r="J108" i="17"/>
  <c r="J105" i="17"/>
  <c r="J98" i="17"/>
  <c r="J107" i="17"/>
  <c r="J104" i="17"/>
  <c r="J97" i="17"/>
  <c r="J102" i="17" s="1"/>
  <c r="J106" i="17"/>
  <c r="J29" i="17"/>
  <c r="J20" i="17"/>
  <c r="H105" i="17"/>
  <c r="E51" i="17"/>
  <c r="J95" i="17"/>
  <c r="G70" i="17"/>
  <c r="G81" i="17" s="1"/>
  <c r="G59" i="17"/>
  <c r="F104" i="17"/>
  <c r="H108" i="17"/>
  <c r="C108" i="17"/>
  <c r="I108" i="17"/>
  <c r="H104" i="17"/>
  <c r="E59" i="17"/>
  <c r="E70" i="17"/>
  <c r="E81" i="17" s="1"/>
  <c r="E137" i="17" s="1"/>
  <c r="C105" i="17"/>
  <c r="D4" i="17"/>
  <c r="D26" i="17" s="1"/>
  <c r="D28" i="17" s="1"/>
  <c r="D7" i="17"/>
  <c r="D93" i="17" s="1"/>
  <c r="D135" i="17" s="1"/>
  <c r="D5" i="17"/>
  <c r="D25" i="17" s="1"/>
  <c r="D27" i="17" s="1"/>
  <c r="F49" i="17"/>
  <c r="F51" i="17" s="1"/>
  <c r="F60" i="17"/>
  <c r="F71" i="17"/>
  <c r="J59" i="17"/>
  <c r="J70" i="17"/>
  <c r="J81" i="17" s="1"/>
  <c r="D95" i="17"/>
  <c r="C101" i="17"/>
  <c r="C20" i="17"/>
  <c r="F107" i="17"/>
  <c r="H106" i="17"/>
  <c r="E105" i="17"/>
  <c r="C106" i="17"/>
  <c r="I106" i="17"/>
  <c r="D61" i="17"/>
  <c r="D72" i="17"/>
  <c r="D83" i="17" s="1"/>
  <c r="I70" i="17"/>
  <c r="I59" i="17"/>
  <c r="G106" i="17"/>
  <c r="G108" i="17"/>
  <c r="G105" i="17"/>
  <c r="G98" i="17"/>
  <c r="G107" i="17"/>
  <c r="G104" i="17"/>
  <c r="G97" i="17"/>
  <c r="G102" i="17" s="1"/>
  <c r="G29" i="17"/>
  <c r="H59" i="17"/>
  <c r="H70" i="17"/>
  <c r="H81" i="17" s="1"/>
  <c r="H137" i="17" s="1"/>
  <c r="F137" i="17"/>
  <c r="C70" i="17"/>
  <c r="C59" i="17"/>
  <c r="D20" i="17"/>
  <c r="B70" i="17"/>
  <c r="B59" i="17"/>
  <c r="B46" i="14"/>
  <c r="B43" i="14"/>
  <c r="B45" i="14"/>
  <c r="N41" i="16"/>
  <c r="H95" i="17" l="1"/>
  <c r="H96" i="17"/>
  <c r="C60" i="17"/>
  <c r="C71" i="17"/>
  <c r="E96" i="17"/>
  <c r="E95" i="17"/>
  <c r="G137" i="17"/>
  <c r="C81" i="17"/>
  <c r="C137" i="17" s="1"/>
  <c r="H60" i="17"/>
  <c r="H71" i="17"/>
  <c r="D73" i="17"/>
  <c r="D62" i="17"/>
  <c r="F82" i="17"/>
  <c r="F138" i="17" s="1"/>
  <c r="E71" i="17"/>
  <c r="E60" i="17"/>
  <c r="G71" i="17"/>
  <c r="G60" i="17"/>
  <c r="I81" i="17"/>
  <c r="I137" i="17" s="1"/>
  <c r="F61" i="17"/>
  <c r="F72" i="17"/>
  <c r="J137" i="17"/>
  <c r="F96" i="17"/>
  <c r="F95" i="17"/>
  <c r="I60" i="17"/>
  <c r="I71" i="17"/>
  <c r="I82" i="17" s="1"/>
  <c r="I138" i="17" s="1"/>
  <c r="I95" i="17"/>
  <c r="I96" i="17"/>
  <c r="D138" i="17"/>
  <c r="D137" i="17"/>
  <c r="D139" i="17"/>
  <c r="H82" i="17"/>
  <c r="H138" i="17" s="1"/>
  <c r="J71" i="17"/>
  <c r="J60" i="17"/>
  <c r="B95" i="17"/>
  <c r="B96" i="17"/>
  <c r="B81" i="17"/>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B25" i="17" s="1"/>
  <c r="B27" i="17" s="1"/>
  <c r="C62" i="13"/>
  <c r="D67" i="1"/>
  <c r="D65" i="1"/>
  <c r="D64" i="1"/>
  <c r="I64" i="1" s="1"/>
  <c r="P67" i="1"/>
  <c r="P65" i="1"/>
  <c r="P64" i="1"/>
  <c r="C4" i="1"/>
  <c r="D99" i="1" s="1"/>
  <c r="C3" i="1"/>
  <c r="T22" i="1"/>
  <c r="F15" i="8"/>
  <c r="E15" i="8"/>
  <c r="D15" i="8"/>
  <c r="C15" i="8"/>
  <c r="J82" i="17" l="1"/>
  <c r="J138" i="17" s="1"/>
  <c r="H72" i="17"/>
  <c r="H61" i="17"/>
  <c r="F73" i="17"/>
  <c r="F84" i="17" s="1"/>
  <c r="F140" i="17" s="1"/>
  <c r="F62" i="17"/>
  <c r="F83" i="17"/>
  <c r="F139" i="17" s="1"/>
  <c r="C72" i="17"/>
  <c r="C83" i="17" s="1"/>
  <c r="C139" i="17" s="1"/>
  <c r="C61" i="17"/>
  <c r="G61" i="17"/>
  <c r="G72" i="17"/>
  <c r="D74" i="17"/>
  <c r="D63" i="17"/>
  <c r="E82" i="17"/>
  <c r="E138" i="17" s="1"/>
  <c r="C82" i="17"/>
  <c r="C138" i="17" s="1"/>
  <c r="I72" i="17"/>
  <c r="I83" i="17" s="1"/>
  <c r="I139" i="17" s="1"/>
  <c r="I61" i="17"/>
  <c r="G83" i="17"/>
  <c r="G139" i="17" s="1"/>
  <c r="D85" i="17"/>
  <c r="D141" i="17" s="1"/>
  <c r="D84" i="17"/>
  <c r="D140" i="17" s="1"/>
  <c r="J61" i="17"/>
  <c r="J72" i="17"/>
  <c r="J83" i="17" s="1"/>
  <c r="J139" i="17" s="1"/>
  <c r="G82" i="17"/>
  <c r="G138" i="17" s="1"/>
  <c r="E72" i="17"/>
  <c r="E61" i="17"/>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E62" i="17" l="1"/>
  <c r="E73" i="17"/>
  <c r="E84" i="17" s="1"/>
  <c r="E140" i="17" s="1"/>
  <c r="C73" i="17"/>
  <c r="C62" i="17"/>
  <c r="F63" i="17"/>
  <c r="F74" i="17"/>
  <c r="D64" i="17"/>
  <c r="D75" i="17"/>
  <c r="C84" i="17"/>
  <c r="C140" i="17" s="1"/>
  <c r="H62" i="17"/>
  <c r="H73" i="17"/>
  <c r="I73" i="17"/>
  <c r="I62" i="17"/>
  <c r="H83" i="17"/>
  <c r="H139" i="17" s="1"/>
  <c r="J62" i="17"/>
  <c r="J73" i="17"/>
  <c r="G73" i="17"/>
  <c r="G62" i="17"/>
  <c r="E83" i="17"/>
  <c r="E139" i="17" s="1"/>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J74" i="17" l="1"/>
  <c r="J63" i="17"/>
  <c r="J84" i="17"/>
  <c r="J140" i="17" s="1"/>
  <c r="D65" i="17"/>
  <c r="D76" i="17"/>
  <c r="D87" i="17" s="1"/>
  <c r="D143" i="17" s="1"/>
  <c r="G74" i="17"/>
  <c r="G85" i="17" s="1"/>
  <c r="G141" i="17" s="1"/>
  <c r="G63" i="17"/>
  <c r="H84" i="17"/>
  <c r="H140" i="17" s="1"/>
  <c r="H74" i="17"/>
  <c r="H63" i="17"/>
  <c r="G84" i="17"/>
  <c r="G140" i="17" s="1"/>
  <c r="D86" i="17"/>
  <c r="D142" i="17" s="1"/>
  <c r="F64" i="17"/>
  <c r="F75" i="17"/>
  <c r="E74" i="17"/>
  <c r="E63" i="17"/>
  <c r="I84" i="17"/>
  <c r="I140" i="17" s="1"/>
  <c r="I63" i="17"/>
  <c r="I74" i="17"/>
  <c r="F85" i="17"/>
  <c r="F141" i="17" s="1"/>
  <c r="C63" i="17"/>
  <c r="C74" i="17"/>
  <c r="C85" i="17" s="1"/>
  <c r="C141" i="17" s="1"/>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F76" i="17" l="1"/>
  <c r="F65" i="17"/>
  <c r="H75" i="17"/>
  <c r="H86" i="17" s="1"/>
  <c r="H142" i="17" s="1"/>
  <c r="H64" i="17"/>
  <c r="D77" i="17"/>
  <c r="D66" i="17"/>
  <c r="I75" i="17"/>
  <c r="I64" i="17"/>
  <c r="H85" i="17"/>
  <c r="H141" i="17" s="1"/>
  <c r="I85" i="17"/>
  <c r="I141" i="17" s="1"/>
  <c r="E75" i="17"/>
  <c r="E64" i="17"/>
  <c r="G64" i="17"/>
  <c r="G75" i="17"/>
  <c r="G86" i="17" s="1"/>
  <c r="G142" i="17" s="1"/>
  <c r="J85" i="17"/>
  <c r="J141" i="17" s="1"/>
  <c r="C75" i="17"/>
  <c r="C64" i="17"/>
  <c r="E85" i="17"/>
  <c r="E141" i="17" s="1"/>
  <c r="F87" i="17"/>
  <c r="F143" i="17" s="1"/>
  <c r="F86" i="17"/>
  <c r="F142" i="17" s="1"/>
  <c r="J64" i="17"/>
  <c r="J75"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C76" i="17" l="1"/>
  <c r="C87" i="17" s="1"/>
  <c r="C143" i="17" s="1"/>
  <c r="C65" i="17"/>
  <c r="C86" i="17"/>
  <c r="C142" i="17" s="1"/>
  <c r="H65" i="17"/>
  <c r="H76" i="17"/>
  <c r="H87" i="17" s="1"/>
  <c r="H143" i="17" s="1"/>
  <c r="I76" i="17"/>
  <c r="I65" i="17"/>
  <c r="F66" i="17"/>
  <c r="F77" i="17"/>
  <c r="J65" i="17"/>
  <c r="J76" i="17"/>
  <c r="G76" i="17"/>
  <c r="G65" i="17"/>
  <c r="J86" i="17"/>
  <c r="J142" i="17" s="1"/>
  <c r="F88" i="17"/>
  <c r="F144" i="17" s="1"/>
  <c r="D88" i="17"/>
  <c r="D144" i="17" s="1"/>
  <c r="E86" i="17"/>
  <c r="E142" i="17" s="1"/>
  <c r="E65" i="17"/>
  <c r="E76" i="17"/>
  <c r="E87" i="17" s="1"/>
  <c r="E143" i="17" s="1"/>
  <c r="D67" i="17"/>
  <c r="D79" i="17" s="1"/>
  <c r="D78" i="17"/>
  <c r="D90" i="17" s="1"/>
  <c r="D146" i="17" s="1"/>
  <c r="I86" i="17"/>
  <c r="I142" i="17" s="1"/>
  <c r="B86" i="17"/>
  <c r="B65" i="17"/>
  <c r="B76" i="17"/>
  <c r="B135"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J87" i="17" l="1"/>
  <c r="J143" i="17" s="1"/>
  <c r="G77" i="17"/>
  <c r="G66" i="17"/>
  <c r="J77" i="17"/>
  <c r="J66" i="17"/>
  <c r="I66" i="17"/>
  <c r="I77" i="17"/>
  <c r="I88" i="17" s="1"/>
  <c r="I144" i="17" s="1"/>
  <c r="D89" i="17"/>
  <c r="D145" i="17" s="1"/>
  <c r="D147" i="17" s="1"/>
  <c r="F78" i="17"/>
  <c r="F89" i="17" s="1"/>
  <c r="F145" i="17" s="1"/>
  <c r="F67" i="17"/>
  <c r="F79" i="17" s="1"/>
  <c r="E77" i="17"/>
  <c r="E66" i="17"/>
  <c r="G88" i="17"/>
  <c r="G144" i="17" s="1"/>
  <c r="I87" i="17"/>
  <c r="I143" i="17" s="1"/>
  <c r="C66" i="17"/>
  <c r="C77" i="17"/>
  <c r="C88" i="17" s="1"/>
  <c r="C144" i="17" s="1"/>
  <c r="G87" i="17"/>
  <c r="G143" i="17" s="1"/>
  <c r="H77" i="17"/>
  <c r="H66" i="17"/>
  <c r="B87" i="17"/>
  <c r="B77" i="17"/>
  <c r="B66" i="17"/>
  <c r="B140" i="17"/>
  <c r="B137" i="17"/>
  <c r="B138" i="17"/>
  <c r="B139" i="17"/>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C78" i="17" l="1"/>
  <c r="C89" i="17" s="1"/>
  <c r="C145" i="17" s="1"/>
  <c r="C67" i="17"/>
  <c r="C79" i="17" s="1"/>
  <c r="G89" i="17"/>
  <c r="G145" i="17" s="1"/>
  <c r="E78" i="17"/>
  <c r="E67" i="17"/>
  <c r="E79" i="17" s="1"/>
  <c r="G67" i="17"/>
  <c r="G79" i="17" s="1"/>
  <c r="G78" i="17"/>
  <c r="H88" i="17"/>
  <c r="H144" i="17" s="1"/>
  <c r="F90" i="17"/>
  <c r="F146" i="17" s="1"/>
  <c r="F147" i="17" s="1"/>
  <c r="J67" i="17"/>
  <c r="J79" i="17" s="1"/>
  <c r="J78" i="17"/>
  <c r="J90" i="17" s="1"/>
  <c r="J146" i="17" s="1"/>
  <c r="I78" i="17"/>
  <c r="I67" i="17"/>
  <c r="I79" i="17" s="1"/>
  <c r="H78" i="17"/>
  <c r="H89" i="17" s="1"/>
  <c r="H145" i="17" s="1"/>
  <c r="H67" i="17"/>
  <c r="H79" i="17" s="1"/>
  <c r="E88" i="17"/>
  <c r="E144" i="17" s="1"/>
  <c r="J88" i="17"/>
  <c r="J144" i="17" s="1"/>
  <c r="B78" i="17"/>
  <c r="B89" i="17" s="1"/>
  <c r="B67" i="17"/>
  <c r="B79" i="17" s="1"/>
  <c r="B88" i="17"/>
  <c r="B141" i="17"/>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G90" i="17" l="1"/>
  <c r="G146" i="17" s="1"/>
  <c r="G147" i="17" s="1"/>
  <c r="E90" i="17"/>
  <c r="E146" i="17" s="1"/>
  <c r="H90" i="17"/>
  <c r="H146" i="17" s="1"/>
  <c r="H147" i="17" s="1"/>
  <c r="J89" i="17"/>
  <c r="J145" i="17" s="1"/>
  <c r="J147" i="17" s="1"/>
  <c r="C90" i="17"/>
  <c r="C146" i="17" s="1"/>
  <c r="C147" i="17" s="1"/>
  <c r="I90" i="17"/>
  <c r="I146" i="17" s="1"/>
  <c r="I89" i="17"/>
  <c r="I145" i="17" s="1"/>
  <c r="E89" i="17"/>
  <c r="E145" i="17" s="1"/>
  <c r="B90" i="17"/>
  <c r="B91" i="17" s="1"/>
  <c r="B142" i="17"/>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E147" i="17" l="1"/>
  <c r="I147" i="17"/>
  <c r="B143" i="17"/>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144" i="17" l="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46" i="17" l="1"/>
  <c r="B145" i="17"/>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7" i="17" l="1"/>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A187" i="4" l="1"/>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86"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<sst xmlns="http://schemas.openxmlformats.org/spreadsheetml/2006/main" count="926" uniqueCount="588">
  <si>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</si>
  <si>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</si>
  <si>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</si>
  <si>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</si>
  <si>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</si>
  <si>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</si>
  <si>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</si>
  <si>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</si>
  <si>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</si>
  <si>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</si>
  <si>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</si>
  <si>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</si>
  <si>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</si>
  <si>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</si>
  <si>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</si>
  <si>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</si>
  <si>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</si>
  <si>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</si>
  <si>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</si>
  <si>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</si>
  <si>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</si>
  <si>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</si>
  <si>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</si>
  <si>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</si>
  <si>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</si>
  <si>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</si>
  <si>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</si>
  <si>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</si>
  <si>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</si>
  <si>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</si>
  <si>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</si>
  <si>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</si>
  <si>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</si>
  <si>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</si>
  <si>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</si>
  <si>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</si>
  <si>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</si>
  <si>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</si>
  <si>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</si>
  <si>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</si>
  <si>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</si>
  <si>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</si>
  <si>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</si>
  <si>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</si>
  <si>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</si>
  <si>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</si>
  <si>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</si>
  <si>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</si>
  <si>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</si>
  <si>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</si>
  <si>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</si>
  <si>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</si>
  <si>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</si>
  <si>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</si>
  <si>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</si>
  <si>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</si>
  <si>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</si>
  <si>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</si>
  <si>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</si>
  <si>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</si>
  <si>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</si>
  <si>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</si>
  <si>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</si>
  <si>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</si>
  <si>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</si>
  <si>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</si>
  <si>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</si>
  <si>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</si>
  <si>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</si>
  <si>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</si>
  <si>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</si>
  <si>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</si>
  <si>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</si>
  <si>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</si>
  <si>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</si>
  <si>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</si>
  <si>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</si>
  <si>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</si>
  <si>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</si>
  <si>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</si>
  <si>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</si>
  <si>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</si>
  <si>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</si>
  <si>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</si>
  <si>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</si>
  <si>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</si>
  <si>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</si>
  <si>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</si>
  <si>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</si>
  <si>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</si>
  <si>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</si>
  <si>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</si>
  <si>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</si>
  <si>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</si>
  <si>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</si>
  <si>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</si>
  <si>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</si>
  <si>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</si>
  <si>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</si>
  <si>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</si>
  <si>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</si>
  <si>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</si>
  <si>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</si>
  <si>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</si>
  <si>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</si>
  <si>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</si>
  <si>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</si>
  <si>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</si>
  <si>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</si>
  <si>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</si>
  <si>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</si>
  <si>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</si>
  <si>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</si>
  <si>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</si>
  <si>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</si>
  <si>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</si>
  <si>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</si>
  <si>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</si>
  <si>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</si>
  <si>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</si>
  <si>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</si>
  <si>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</si>
  <si>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</si>
  <si>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</si>
  <si>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</si>
  <si>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</si>
  <si>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</si>
  <si>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</si>
  <si>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</si>
  <si>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</si>
  <si>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</si>
  <si>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</si>
  <si>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</si>
  <si>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</si>
  <si>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</si>
  <si>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</si>
  <si>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</si>
  <si>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</si>
  <si>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</si>
  <si>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</si>
  <si>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</si>
  <si>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</si>
  <si>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</si>
  <si>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</si>
  <si>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</si>
  <si>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</si>
  <si>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</si>
  <si>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</si>
  <si>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</si>
  <si>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</si>
  <si>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</si>
  <si>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</si>
  <si>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</si>
  <si>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</si>
  <si>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</si>
  <si>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</si>
  <si>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</si>
  <si>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</si>
  <si>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</si>
  <si>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</si>
  <si>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</si>
  <si>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</si>
  <si>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</si>
  <si>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</si>
  <si>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</si>
  <si>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</si>
  <si>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</si>
  <si>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</si>
  <si>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</si>
  <si>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</si>
  <si>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</si>
  <si>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</si>
  <si>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</si>
  <si>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</si>
  <si>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</si>
  <si>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</si>
  <si>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</si>
  <si>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</si>
  <si>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</si>
  <si>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</si>
  <si>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</si>
  <si>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</si>
  <si>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</si>
  <si>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</si>
  <si>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</si>
  <si>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</si>
  <si>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</si>
  <si>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</si>
  <si>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</si>
  <si>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</si>
  <si>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</si>
  <si>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</si>
  <si>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</si>
  <si>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</si>
  <si>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</si>
  <si>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</si>
  <si>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</si>
  <si>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</si>
  <si>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</si>
  <si>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</si>
  <si>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</si>
  <si>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</si>
  <si>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</si>
  <si>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</si>
  <si>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</si>
  <si>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</si>
  <si>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</si>
  <si>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</si>
  <si>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</si>
  <si>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</si>
  <si>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</si>
  <si>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</si>
  <si>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</si>
  <si>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</si>
  <si>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</si>
  <si>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</si>
  <si>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</si>
  <si>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</si>
  <si>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</si>
  <si>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</si>
  <si>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</si>
  <si>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</si>
  <si>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</si>
  <si>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</si>
  <si>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</si>
  <si>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</si>
  <si>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</si>
  <si>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</si>
  <si>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</si>
  <si>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</si>
  <si>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</si>
  <si>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</si>
  <si>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</si>
  <si>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</si>
  <si>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</si>
  <si>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</si>
  <si>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</si>
  <si>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</si>
  <si>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</si>
  <si>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</si>
  <si>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</si>
  <si>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</si>
  <si>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</si>
  <si>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</si>
  <si>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</si>
  <si>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</si>
  <si>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</si>
  <si>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</si>
  <si>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</si>
  <si>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</si>
  <si>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</si>
  <si>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</si>
  <si>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</si>
  <si>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</si>
  <si>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</si>
  <si>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</si>
  <si>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</si>
  <si>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</si>
  <si>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</si>
  <si>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</si>
  <si>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</si>
  <si>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</si>
  <si>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</si>
  <si>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</si>
  <si>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</si>
  <si>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</si>
  <si>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</si>
  <si>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</si>
  <si>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</si>
  <si>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</si>
  <si>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</si>
  <si>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</si>
  <si>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</si>
  <si>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</si>
  <si>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</si>
  <si>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</si>
  <si>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</si>
  <si>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</si>
  <si>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</si>
  <si>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</si>
  <si>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</si>
  <si>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</si>
  <si>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</si>
  <si>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</si>
  <si>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</si>
  <si>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</si>
  <si>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</si>
  <si>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</si>
  <si>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</si>
  <si>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</si>
  <si>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</si>
  <si>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</si>
  <si>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</si>
  <si>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</si>
  <si>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</si>
  <si>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</si>
  <si>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</si>
  <si>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</si>
  <si>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</si>
  <si>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</si>
  <si>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</si>
  <si>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</si>
  <si>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</si>
  <si>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</si>
  <si>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</si>
  <si>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</si>
  <si>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</si>
  <si>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</si>
  <si>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</si>
  <si>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</si>
  <si>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</si>
  <si>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</si>
  <si>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</si>
  <si>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</si>
  <si>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</si>
  <si>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</si>
  <si>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</si>
  <si>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</si>
  <si>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</si>
  <si>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</si>
  <si>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</si>
  <si>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</si>
  <si>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</si>
  <si>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</si>
  <si>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</si>
  <si>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</si>
  <si>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</si>
  <si>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</si>
  <si>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</si>
  <si>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</si>
  <si>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</si>
  <si>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</si>
  <si>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</si>
  <si>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</si>
  <si>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</si>
  <si>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</si>
  <si>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</si>
  <si>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</si>
  <si>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</si>
  <si>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</si>
  <si>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</si>
  <si>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</si>
  <si>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</si>
  <si>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</si>
  <si>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</si>
  <si>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</si>
  <si>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</si>
  <si>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</si>
  <si>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</si>
  <si>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</si>
  <si>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</si>
  <si>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</si>
  <si>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</si>
  <si>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</si>
  <si>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</si>
  <si>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</si>
  <si>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</si>
  <si>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</si>
  <si>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</si>
  <si>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</si>
  <si>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</si>
  <si>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</si>
  <si>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</si>
  <si>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</si>
  <si>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</si>
  <si>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</si>
  <si>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</si>
  <si>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</si>
  <si>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</si>
  <si>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</si>
  <si>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</si>
  <si>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</si>
  <si>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</si>
  <si>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</si>
  <si>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</si>
  <si>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</si>
  <si>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</si>
  <si>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</si>
  <si>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</si>
  <si>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</si>
  <si>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</si>
  <si>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</si>
  <si>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</si>
  <si>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</si>
  <si>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</si>
  <si>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</si>
  <si>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</si>
  <si>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</si>
  <si>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</si>
  <si>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</si>
  <si>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</si>
  <si>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</si>
  <si>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TOTAL (Newtons)</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</si>
  <si>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</si>
  <si>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</si>
  <si>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</si>
  <si>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</si>
  <si>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</si>
  <si>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</si>
  <si>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</si>
  <si>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</si>
  <si>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</si>
  <si>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</si>
  <si>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</si>
  <si>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</si>
  <si>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</si>
  <si>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</si>
  <si>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</si>
  <si>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</si>
  <si>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</si>
  <si>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</si>
  <si>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</si>
  <si>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</si>
  <si>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</si>
  <si>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</si>
  <si>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</si>
  <si>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</si>
  <si>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</si>
  <si>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</si>
  <si>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</si>
  <si>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</si>
  <si>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</si>
  <si>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</si>
  <si>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</si>
  <si>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</si>
  <si>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</si>
  <si>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</si>
  <si>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</si>
  <si>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</si>
  <si>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</si>
  <si>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</si>
  <si>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</si>
  <si>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</si>
  <si>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</si>
  <si>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</si>
  <si>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</si>
  <si>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</si>
  <si>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</si>
  <si>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</si>
  <si>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</si>
  <si>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</si>
  <si>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</si>
  <si>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</si>
  <si>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</si>
  <si>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</si>
  <si>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</si>
  <si>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</si>
  <si>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</si>
  <si>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</si>
  <si>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</si>
  <si>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</si>
  <si>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</si>
  <si>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</si>
  <si>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</si>
  <si>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</si>
  <si>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</si>
  <si>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</si>
  <si>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</si>
  <si>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</si>
  <si>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</si>
  <si>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</si>
  <si>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</si>
  <si>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</si>
  <si>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</si>
  <si>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</si>
  <si>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</si>
  <si>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</si>
  <si>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</si>
  <si>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</si>
  <si>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</si>
  <si>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</si>
  <si>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</si>
  <si>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</si>
  <si>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</si>
  <si>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</si>
  <si>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</si>
  <si>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</si>
  <si>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</si>
  <si>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</si>
  <si>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</si>
  <si>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</si>
  <si>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</si>
  <si>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</si>
  <si>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</si>
  <si>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</si>
  <si>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</si>
  <si>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</si>
  <si>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</si>
  <si>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</si>
  <si>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</si>
  <si>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</si>
  <si>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</si>
  <si>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</si>
  <si>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</si>
  <si>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</si>
  <si>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</si>
  <si>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</si>
  <si>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</si>
  <si>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</si>
  <si>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</si>
  <si>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</si>
  <si>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</si>
  <si>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</si>
  <si>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</si>
  <si>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</si>
  <si>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</si>
  <si>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</si>
  <si>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</si>
  <si>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</si>
  <si>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</si>
  <si>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</si>
  <si>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</si>
  <si>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</si>
  <si>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</si>
  <si>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</si>
  <si>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</si>
  <si>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</si>
  <si>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</si>
  <si>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</si>
  <si>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</si>
  <si>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</si>
  <si>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</si>
  <si>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</si>
  <si>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</si>
  <si>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</si>
  <si>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</si>
  <si>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</si>
  <si>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</si>
  <si>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</si>
  <si>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</si>
  <si>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</si>
  <si>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</si>
  <si>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</si>
  <si>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</si>
  <si>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</si>
  <si>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</si>
  <si>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</si>
  <si>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</si>
  <si>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</si>
  <si>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</si>
  <si>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</si>
  <si>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</si>
  <si>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</si>
  <si>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</si>
  <si>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</si>
  <si>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</si>
  <si>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</si>
  <si>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</si>
  <si>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</si>
  <si>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</si>
  <si>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</si>
  <si>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</si>
  <si>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</si>
  <si>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</si>
  <si>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</si>
  <si>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</si>
  <si>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</si>
  <si>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</si>
  <si>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</si>
  <si>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</si>
  <si>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</si>
  <si>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</si>
  <si>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</si>
  <si>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</si>
  <si>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</si>
  <si>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</si>
  <si>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</si>
  <si>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</si>
  <si>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</si>
  <si>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</si>
  <si>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</si>
  <si>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</si>
  <si>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</si>
  <si>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 xml:space="preserve">                                                   Iterations
Input variables (ambient)</t>
  </si>
  <si>
    <t>dCL/dAlpha due Mach &amp; AoA</t>
  </si>
  <si>
    <t>dCL/dAlpha due Mach (AoA&lt;25 deg)</t>
  </si>
  <si>
    <t>y (wall separation, mm)</t>
  </si>
  <si>
    <t>y (wall separation, m)</t>
  </si>
  <si>
    <t>First term</t>
  </si>
  <si>
    <t>y+ subsonic MAX TE</t>
  </si>
  <si>
    <t>y+ sonic MAX TE</t>
  </si>
  <si>
    <t>chord (tip or root)</t>
  </si>
  <si>
    <t>chord Re segmentation (tip or root)</t>
  </si>
  <si>
    <t>Chord y+ segmentation</t>
  </si>
  <si>
    <t>Total Area Sum m^2</t>
  </si>
  <si>
    <t xml:space="preserve">Linearized theoretical data </t>
  </si>
  <si>
    <t>Aerodynamic theoretical forces per fin</t>
  </si>
  <si>
    <t>Aerodynamic CFD forces per fin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</si>
</sst>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8">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376">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2" fontId="0" fillId="0" borderId="0" xfId="0" applyNumberFormat="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7" fillId="11" borderId="37" xfId="0" applyFont="1" applyFill="1" applyBorder="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0" fontId="17" fillId="11" borderId="47" xfId="0" applyFont="1" applyFill="1" applyBorder="1"/>
    <xf numFmtId="0" fontId="17" fillId="0" borderId="0" xfId="0" applyFont="1"/>
    <xf numFmtId="0" fontId="17" fillId="11" borderId="0" xfId="0" applyFont="1" applyFill="1"/>
    <xf numFmtId="0" fontId="17" fillId="11" borderId="1" xfId="0" applyFont="1" applyFill="1" applyBorder="1"/>
    <xf numFmtId="0" fontId="17" fillId="11" borderId="1" xfId="0" applyFont="1" applyFill="1" applyBorder="1" applyAlignment="1">
      <alignment horizontal="left" vertical="center" wrapText="1"/>
    </xf>
    <xf numFmtId="0" fontId="17" fillId="0" borderId="0" xfId="0" applyFont="1" applyFill="1"/>
    <xf numFmtId="2" fontId="17" fillId="0" borderId="0" xfId="0" applyNumberFormat="1" applyFont="1"/>
    <xf numFmtId="165" fontId="17" fillId="0" borderId="0" xfId="0" applyNumberFormat="1" applyFont="1"/>
  </cellXfs>
  <cellStyles count="3">
    <cellStyle name="Hyperlink" xfId="1" builtinId="8"/>
    <cellStyle name="Normal" xfId="0" builtinId="0"/>
    <cellStyle name="Percent" xfId="2" builtinId="5"/>
  </cellStyles>
  <dxfs count="65">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1797343984"/>
        <c:axId val="-1797357584"/>
      </c:scatterChart>
      <c:valAx>
        <c:axId val="-1797343984"/>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357584"/>
        <c:crosses val="autoZero"/>
        <c:crossBetween val="midCat"/>
        <c:majorUnit val="0.30000000000000004"/>
        <c:minorUnit val="0.30000000000000004"/>
      </c:valAx>
      <c:valAx>
        <c:axId val="-179735758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343984"/>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1713996752"/>
        <c:axId val="-1713998928"/>
      </c:scatterChart>
      <c:valAx>
        <c:axId val="-17139967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8928"/>
        <c:crosses val="autoZero"/>
        <c:crossBetween val="midCat"/>
      </c:valAx>
      <c:valAx>
        <c:axId val="-17139989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675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1713994032"/>
        <c:axId val="-1714003280"/>
      </c:scatterChart>
      <c:valAx>
        <c:axId val="-171399403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3280"/>
        <c:crosses val="autoZero"/>
        <c:crossBetween val="midCat"/>
      </c:valAx>
      <c:valAx>
        <c:axId val="-17140032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403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1714006544"/>
        <c:axId val="-1713997296"/>
      </c:scatterChart>
      <c:valAx>
        <c:axId val="-17140065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7296"/>
        <c:crosses val="autoZero"/>
        <c:crossBetween val="midCat"/>
      </c:valAx>
      <c:valAx>
        <c:axId val="-17139972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654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1714001648"/>
        <c:axId val="-1713995664"/>
      </c:scatterChart>
      <c:valAx>
        <c:axId val="-1714001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95664"/>
        <c:crosses val="autoZero"/>
        <c:crossBetween val="midCat"/>
      </c:valAx>
      <c:valAx>
        <c:axId val="-1713995664"/>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016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1714008176"/>
        <c:axId val="-1713998384"/>
      </c:scatterChart>
      <c:valAx>
        <c:axId val="-17140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98384"/>
        <c:crosses val="autoZero"/>
        <c:crossBetween val="midCat"/>
      </c:valAx>
      <c:valAx>
        <c:axId val="-171399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08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1713993488"/>
        <c:axId val="-1713992944"/>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1714000560"/>
        <c:axId val="-1714001104"/>
      </c:lineChart>
      <c:catAx>
        <c:axId val="-1713993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92944"/>
        <c:crosses val="autoZero"/>
        <c:auto val="1"/>
        <c:lblAlgn val="ctr"/>
        <c:lblOffset val="100"/>
        <c:noMultiLvlLbl val="0"/>
      </c:catAx>
      <c:valAx>
        <c:axId val="-171399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93488"/>
        <c:crosses val="autoZero"/>
        <c:crossBetween val="between"/>
      </c:valAx>
      <c:valAx>
        <c:axId val="-1714001104"/>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00560"/>
        <c:crosses val="max"/>
        <c:crossBetween val="between"/>
      </c:valAx>
      <c:catAx>
        <c:axId val="-1714000560"/>
        <c:scaling>
          <c:orientation val="minMax"/>
        </c:scaling>
        <c:delete val="1"/>
        <c:axPos val="b"/>
        <c:numFmt formatCode="General" sourceLinked="1"/>
        <c:majorTickMark val="out"/>
        <c:minorTickMark val="none"/>
        <c:tickLblPos val="nextTo"/>
        <c:crossAx val="-1714001104"/>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1714003824"/>
        <c:axId val="-1714007632"/>
      </c:scatterChart>
      <c:valAx>
        <c:axId val="-1714003824"/>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07632"/>
        <c:crosses val="autoZero"/>
        <c:crossBetween val="midCat"/>
      </c:valAx>
      <c:valAx>
        <c:axId val="-171400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0382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1714004368"/>
        <c:axId val="-1714002736"/>
      </c:scatterChart>
      <c:valAx>
        <c:axId val="-1714004368"/>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2736"/>
        <c:crosses val="autoZero"/>
        <c:crossBetween val="midCat"/>
      </c:valAx>
      <c:valAx>
        <c:axId val="-1714002736"/>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43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1714002192"/>
        <c:axId val="-1713997840"/>
      </c:barChart>
      <c:catAx>
        <c:axId val="-171400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13997840"/>
        <c:crosses val="autoZero"/>
        <c:auto val="1"/>
        <c:lblAlgn val="ctr"/>
        <c:lblOffset val="100"/>
        <c:noMultiLvlLbl val="0"/>
      </c:catAx>
      <c:valAx>
        <c:axId val="-1713997840"/>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71400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1797351600"/>
        <c:axId val="-1797350512"/>
      </c:scatterChart>
      <c:valAx>
        <c:axId val="-1797351600"/>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797350512"/>
        <c:crossesAt val="0"/>
        <c:crossBetween val="midCat"/>
      </c:valAx>
      <c:valAx>
        <c:axId val="-1797350512"/>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797351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1797351056"/>
        <c:axId val="-1797349968"/>
      </c:scatterChart>
      <c:valAx>
        <c:axId val="-17973510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349968"/>
        <c:crosses val="autoZero"/>
        <c:crossBetween val="midCat"/>
      </c:valAx>
      <c:valAx>
        <c:axId val="-17973499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3510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1797348336"/>
        <c:axId val="-1797349424"/>
      </c:scatterChart>
      <c:valAx>
        <c:axId val="-17973483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97349424"/>
        <c:crosses val="autoZero"/>
        <c:crossBetween val="midCat"/>
      </c:valAx>
      <c:valAx>
        <c:axId val="-17973494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973483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1797347792"/>
        <c:axId val="-2054491264"/>
      </c:scatterChart>
      <c:valAx>
        <c:axId val="-17973477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54491264"/>
        <c:crosses val="autoZero"/>
        <c:crossBetween val="midCat"/>
      </c:valAx>
      <c:valAx>
        <c:axId val="-2054491264"/>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973477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1714005456"/>
        <c:axId val="-1714000016"/>
      </c:scatterChart>
      <c:valAx>
        <c:axId val="-1714005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0016"/>
        <c:crosses val="autoZero"/>
        <c:crossBetween val="midCat"/>
      </c:valAx>
      <c:valAx>
        <c:axId val="-171400001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54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1714006000"/>
        <c:axId val="-1713994576"/>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1714006000"/>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4576"/>
        <c:crosses val="autoZero"/>
        <c:crossBetween val="midCat"/>
      </c:valAx>
      <c:valAx>
        <c:axId val="-1713994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600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1713996208"/>
        <c:axId val="-1713999472"/>
      </c:scatterChart>
      <c:valAx>
        <c:axId val="-17139962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9472"/>
        <c:crosses val="autoZero"/>
        <c:crossBetween val="midCat"/>
      </c:valAx>
      <c:valAx>
        <c:axId val="-1713999472"/>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620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1713995120"/>
        <c:axId val="-1714004912"/>
      </c:scatterChart>
      <c:valAx>
        <c:axId val="-1713995120"/>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4004912"/>
        <c:crosses val="autoZero"/>
        <c:crossBetween val="midCat"/>
      </c:valAx>
      <c:valAx>
        <c:axId val="-17140049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99512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 xmlns:a16="http://schemas.microsoft.com/office/drawing/2014/main" id="{8696CF88-4D17-58E0-4547-0F4FEA49BBCA}"/>
            </a:ext>
            <a:ext uri="{147F2762-F138-4A5C-976F-8EAC2B608ADB}">
              <a16:predDERef xmlns=""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 xmlns:a16="http://schemas.microsoft.com/office/drawing/2014/main" id="{10EB7F2F-3037-0F02-65F4-9470FC24037D}"/>
            </a:ext>
            <a:ext uri="{147F2762-F138-4A5C-976F-8EAC2B608ADB}">
              <a16:predDERef xmlns=""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 xmlns:a16="http://schemas.microsoft.com/office/drawing/2014/main" id="{1E1B4768-DDEF-37F2-E2F6-DF6922649F41}"/>
            </a:ext>
            <a:ext uri="{147F2762-F138-4A5C-976F-8EAC2B608ADB}">
              <a16:predDERef xmlns=""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 xmlns:a16="http://schemas.microsoft.com/office/drawing/2014/main" id="{E128D49A-3629-4BBF-9581-DB9D69B8A541}"/>
            </a:ext>
            <a:ext uri="{147F2762-F138-4A5C-976F-8EAC2B608ADB}">
              <a16:predDERef xmlns=""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 xmlns:a16="http://schemas.microsoft.com/office/drawing/2014/main" id="{4705D049-9711-4AD6-8388-EAF961A55C4C}"/>
            </a:ext>
            <a:ext uri="{147F2762-F138-4A5C-976F-8EAC2B608ADB}">
              <a16:predDERef xmlns=""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 xmlns:a16="http://schemas.microsoft.com/office/drawing/2014/main" id="{64CC32F9-70E7-407E-A2B4-7366728088AD}"/>
            </a:ext>
            <a:ext uri="{147F2762-F138-4A5C-976F-8EAC2B608ADB}">
              <a16:predDERef xmlns=""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 xmlns:a16="http://schemas.microsoft.com/office/drawing/2014/main" id="{250CC376-444D-4A69-B396-08361C76F808}"/>
            </a:ext>
            <a:ext uri="{147F2762-F138-4A5C-976F-8EAC2B608ADB}">
              <a16:predDERef xmlns=""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 xmlns:a16="http://schemas.microsoft.com/office/drawing/2014/main" id="{C15CA873-26E1-4AC6-B585-4EB97F3C73DC}"/>
            </a:ext>
            <a:ext uri="{147F2762-F138-4A5C-976F-8EAC2B608ADB}">
              <a16:predDERef xmlns=""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 xmlns:a16="http://schemas.microsoft.com/office/drawing/2014/main" id="{9A60D0BB-D2DB-4D29-AC4E-706AD0B20703}"/>
            </a:ext>
            <a:ext uri="{147F2762-F138-4A5C-976F-8EAC2B608ADB}">
              <a16:predDERef xmlns=""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 xmlns:a16="http://schemas.microsoft.com/office/drawing/2014/main" id="{E18AE237-AB9B-443B-9AC6-0A486D849990}"/>
            </a:ext>
            <a:ext uri="{147F2762-F138-4A5C-976F-8EAC2B608ADB}">
              <a16:predDERef xmlns=""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 xmlns:a16="http://schemas.microsoft.com/office/drawing/2014/main" id="{D877167B-41EB-4438-B309-3687EC1249E9}"/>
            </a:ext>
            <a:ext uri="{6ECC49D1-AA05-4338-93AA-15A1B29DFB0A}">
              <asl:scriptLink xmlns=""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346634</xdr:colOff>
      <xdr:row>110</xdr:row>
      <xdr:rowOff>171266</xdr:rowOff>
    </xdr:from>
    <xdr:to>
      <xdr:col>15</xdr:col>
      <xdr:colOff>324837</xdr:colOff>
      <xdr:row>117</xdr:row>
      <xdr:rowOff>30342</xdr:rowOff>
    </xdr:to>
    <xdr:pic>
      <xdr:nvPicPr>
        <xdr:cNvPr id="3" name="Picture 2">
          <a:extLst>
            <a:ext uri="{FF2B5EF4-FFF2-40B4-BE49-F238E27FC236}">
              <a16:creationId xmlns="" xmlns:a16="http://schemas.microsoft.com/office/drawing/2014/main" id="{1FF5B955-BBC1-068A-78ED-945F1C361528}"/>
            </a:ext>
          </a:extLst>
        </xdr:cNvPr>
        <xdr:cNvPicPr>
          <a:picLocks noChangeAspect="1"/>
        </xdr:cNvPicPr>
      </xdr:nvPicPr>
      <xdr:blipFill>
        <a:blip xmlns:r="http://schemas.openxmlformats.org/officeDocument/2006/relationships" r:embed="rId1"/>
        <a:stretch>
          <a:fillRect/>
        </a:stretch>
      </xdr:blipFill>
      <xdr:spPr>
        <a:xfrm>
          <a:off x="11171516" y="14705295"/>
          <a:ext cx="3452027" cy="568225"/>
        </a:xfrm>
        <a:prstGeom prst="rect">
          <a:avLst/>
        </a:prstGeom>
      </xdr:spPr>
    </xdr:pic>
    <xdr:clientData/>
  </xdr:twoCellAnchor>
  <xdr:twoCellAnchor editAs="oneCell">
    <xdr:from>
      <xdr:col>11</xdr:col>
      <xdr:colOff>2055</xdr:colOff>
      <xdr:row>97</xdr:row>
      <xdr:rowOff>76946</xdr:rowOff>
    </xdr:from>
    <xdr:to>
      <xdr:col>13</xdr:col>
      <xdr:colOff>493480</xdr:colOff>
      <xdr:row>100</xdr:row>
      <xdr:rowOff>126342</xdr:rowOff>
    </xdr:to>
    <xdr:pic>
      <xdr:nvPicPr>
        <xdr:cNvPr id="4" name="Picture 3">
          <a:extLst>
            <a:ext uri="{FF2B5EF4-FFF2-40B4-BE49-F238E27FC236}">
              <a16:creationId xmlns="" xmlns:a16="http://schemas.microsoft.com/office/drawing/2014/main" id="{4E474A16-9619-6CA7-6B5F-5215982D59B0}"/>
            </a:ext>
            <a:ext uri="{147F2762-F138-4A5C-976F-8EAC2B608ADB}">
              <a16:predDERef xmlns="" xmlns:a16="http://schemas.microsoft.com/office/drawing/2014/main" pred="{1FF5B955-BBC1-068A-78ED-945F1C361528}"/>
            </a:ext>
          </a:extLst>
        </xdr:cNvPr>
        <xdr:cNvPicPr>
          <a:picLocks noChangeAspect="1"/>
        </xdr:cNvPicPr>
      </xdr:nvPicPr>
      <xdr:blipFill>
        <a:blip xmlns:r="http://schemas.openxmlformats.org/officeDocument/2006/relationships" r:embed="rId2"/>
        <a:stretch>
          <a:fillRect/>
        </a:stretch>
      </xdr:blipFill>
      <xdr:spPr>
        <a:xfrm>
          <a:off x="12429379" y="12291358"/>
          <a:ext cx="1880954" cy="5872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 xmlns:a16="http://schemas.microsoft.com/office/drawing/2014/main" id="{4F426E6A-640A-0D37-FCC2-62FBA9CA9E0F}"/>
            </a:ext>
            <a:ext uri="{147F2762-F138-4A5C-976F-8EAC2B608ADB}">
              <a16:predDERef xmlns=""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PERSON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CalculateCL"/>
    </definedNames>
    <sheetDataSet>
      <sheetData sheetId="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4" dataDxfId="63">
  <autoFilter ref="B76:G81"/>
  <tableColumns count="6">
    <tableColumn id="1" name="Fin type" dataDxfId="62"/>
    <tableColumn id="2" name="Sweeped" dataDxfId="61">
      <calculatedColumnFormula>I64</calculatedColumnFormula>
    </tableColumn>
    <tableColumn id="3" name="Tapered 1/4" dataDxfId="60">
      <calculatedColumnFormula>K64</calculatedColumnFormula>
    </tableColumn>
    <tableColumn id="4" name="Tapered sweeped" dataDxfId="59"/>
    <tableColumn id="5" name="Column4" dataDxfId="58"/>
    <tableColumn id="6" name="Column5" dataDxfId="57"/>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6" dataDxfId="55">
  <autoFilter ref="J44:AF65"/>
  <tableColumns count="23">
    <tableColumn id="1" name="Node" dataDxfId="54" totalsRowDxfId="53"/>
    <tableColumn id="2" name="Span position (m)" dataDxfId="52" totalsRowDxfId="51">
      <calculatedColumnFormula>K44+$E$54/2/$C$61</calculatedColumnFormula>
    </tableColumn>
    <tableColumn id="10" name="Local max Reynolds" dataDxfId="50" totalsRowDxfId="49">
      <calculatedColumnFormula>($C$4*$C$12*M45)/$C$13</calculatedColumnFormula>
    </tableColumn>
    <tableColumn id="3" name="Local chord (m)" dataDxfId="48" totalsRowDxfId="47">
      <calculatedColumnFormula>((($E$49-$E$50)/($E$54/2))*K45)+$E$50</calculatedColumnFormula>
    </tableColumn>
    <tableColumn id="21" name="Local taper ratio" dataDxfId="46" totalsRowDxfId="45">
      <calculatedColumnFormula>M45/$E$50</calculatedColumnFormula>
    </tableColumn>
    <tableColumn id="20" name="Local MAC (m)" dataDxfId="44" totalsRowDxfId="43">
      <calculatedColumnFormula>(2/3)*$E$54*((N45^2+N45+1)/(N45+1))</calculatedColumnFormula>
    </tableColumn>
    <tableColumn id="4" name="Local surface (m^2)" dataDxfId="42" totalsRowDxfId="41">
      <calculatedColumnFormula>(M45+M44)/2*($K$45*2)</calculatedColumnFormula>
    </tableColumn>
    <tableColumn id="9" name="Local wetted surface (m^2)" dataDxfId="40" totalsRowDxfId="39">
      <calculatedColumnFormula>E51*Table2[[#This Row],[Span position (m)]]+Table2[[#This Row],[Local chord (m)]]*K45+E51*K45</calculatedColumnFormula>
    </tableColumn>
    <tableColumn id="22" name="Boundary-layer thickness (m)" dataDxfId="38" totalsRowDxfId="37">
      <calculatedColumnFormula>IF($C$11&gt;0.3,0,IF(L45&lt;500000,0.5*M45/(SQRT(M45)),0.37*M45/(L45^(1/5))))</calculatedColumnFormula>
    </tableColumn>
    <tableColumn id="14" name="Local u (m/s)" dataDxfId="36" totalsRowDxfId="35">
      <calculatedColumnFormula>$C$4</calculatedColumnFormula>
    </tableColumn>
    <tableColumn id="15" name="Local w (m/s)" dataDxfId="34" totalsRowDxfId="33">
      <calculatedColumnFormula>$C$6</calculatedColumnFormula>
    </tableColumn>
    <tableColumn id="5" name="AoA fins (rad)" dataDxfId="32" totalsRowDxfId="31">
      <calculatedColumnFormula>DEGREES(ATAN(T45/S45))</calculatedColumnFormula>
    </tableColumn>
    <tableColumn id="6" name="Cl" dataDxfId="30" totalsRowDxfId="29">
      <calculatedColumnFormula>IF($C$11&lt;1,($C$62*RADIANS(U45))/SQRT(1-$C$11^2),(4*RADIANS(U45))/SQRT($C$11^2-1))</calculatedColumnFormula>
    </tableColumn>
    <tableColumn id="19" name="Cf" dataDxfId="28" totalsRowDxfId="27">
      <calculatedColumnFormula>IF($C$11&lt;0.3,IF((L45&gt;500000),0.074/L45^(1/5),1.328/SQRT(L45)),0)</calculatedColumnFormula>
    </tableColumn>
    <tableColumn id="7" name="Cd" dataDxfId="26" totalsRowDxfId="25">
      <calculatedColumnFormula>$C$63+(0.2*($C$63+W45+(V45^2/PI()*$C$56)))</calculatedColumnFormula>
    </tableColumn>
    <tableColumn id="8" name="Cm,LE" dataDxfId="24" totalsRowDxfId="23">
      <calculatedColumnFormula>IF($C$11&lt;1,(-V45/2)/SQRT(1-$C$11^2),1)</calculatedColumnFormula>
    </tableColumn>
    <tableColumn id="23" name="Xcp location" dataDxfId="22" totalsRowDxfId="21">
      <calculatedColumnFormula>IF($C$11&gt;0.3, 1, 0.25*M45)</calculatedColumnFormula>
    </tableColumn>
    <tableColumn id="11" name="Lift" totalsRowFunction="custom" dataDxfId="20" totalsRowDxfId="19">
      <calculatedColumnFormula>0.5*$C$12*(S45^2)*P45*V45</calculatedColumnFormula>
      <totalsRowFormula>SUM(Table2[Lift])</totalsRowFormula>
    </tableColumn>
    <tableColumn id="12" name="Drag" totalsRowFunction="custom" dataDxfId="18" totalsRowDxfId="17">
      <calculatedColumnFormula>0.5*$C$12*(S45^2)*P45*X45</calculatedColumnFormula>
      <totalsRowFormula>SUM(Table2[Drag])</totalsRowFormula>
    </tableColumn>
    <tableColumn id="13" name="Moment (x-z)" totalsRowFunction="custom" dataDxfId="16" totalsRowDxfId="15">
      <calculatedColumnFormula>0.5*$C$12*(S45^2)*P45*O45*Y45</calculatedColumnFormula>
      <totalsRowFormula>SUM(Table2[Moment (x-z)])</totalsRowFormula>
    </tableColumn>
    <tableColumn id="16" name="Lift (interfered" totalsRowFunction="custom" dataDxfId="14" totalsRowDxfId="13">
      <calculatedColumnFormula>IF(K45&gt;$E$66/2,AA45,0)</calculatedColumnFormula>
      <totalsRowFormula>SUM(Table2[Lift (interfered])</totalsRowFormula>
    </tableColumn>
    <tableColumn id="17" name="Drag (interfered)" totalsRowFunction="custom" dataDxfId="12" totalsRowDxfId="11">
      <calculatedColumnFormula>IF(K45&gt;$E$66/2,Table2[[#This Row],[Drag]],0)</calculatedColumnFormula>
      <totalsRowFormula>SUM(Table2[Drag (interfered)])</totalsRowFormula>
    </tableColumn>
    <tableColumn id="18" name="Moment (interfered)" totalsRowFunction="custom" dataDxfId="10" totalsRowDxfId="9">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6.bin"/><Relationship Id="rId7" Type="http://schemas.openxmlformats.org/officeDocument/2006/relationships/comments" Target="../comments5.xml"/><Relationship Id="rId2" Type="http://schemas.openxmlformats.org/officeDocument/2006/relationships/printerSettings" Target="../printerSettings/printerSettings7.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01" t="s">
        <v>56</v>
      </c>
      <c r="B108" s="156" t="s">
        <v>57</v>
      </c>
      <c r="C108" s="130"/>
      <c r="D108" s="130"/>
      <c r="E108" s="130"/>
      <c r="F108" s="130"/>
      <c r="G108" s="130"/>
      <c r="H108" s="130"/>
      <c r="I108" s="130"/>
      <c r="J108" s="130"/>
      <c r="K108" s="130"/>
      <c r="L108" s="157"/>
    </row>
    <row r="109" spans="1:12">
      <c r="A109" s="301"/>
      <c r="B109" s="158"/>
      <c r="C109" s="143"/>
      <c r="D109" s="143"/>
      <c r="E109" s="143"/>
      <c r="F109" s="143"/>
      <c r="G109" s="143"/>
      <c r="H109" s="143"/>
      <c r="I109" s="143"/>
      <c r="J109" s="143"/>
      <c r="K109" s="143"/>
      <c r="L109" s="159"/>
    </row>
    <row r="110" spans="1:12" ht="13.5" thickBot="1">
      <c r="A110" s="301"/>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01" t="s">
        <v>56</v>
      </c>
      <c r="B160" s="156" t="s">
        <v>57</v>
      </c>
      <c r="C160" s="130"/>
      <c r="D160" s="130"/>
      <c r="E160" s="130"/>
      <c r="F160" s="130"/>
      <c r="G160" s="130"/>
      <c r="H160" s="130"/>
      <c r="I160" s="130"/>
      <c r="J160" s="130"/>
      <c r="K160" s="130"/>
      <c r="L160" s="157"/>
    </row>
    <row r="161" spans="1:12">
      <c r="A161" s="301"/>
      <c r="B161" s="158"/>
      <c r="C161" s="143"/>
      <c r="D161" s="143"/>
      <c r="E161" s="143"/>
      <c r="F161" s="143"/>
      <c r="G161" s="143"/>
      <c r="H161" s="143"/>
      <c r="I161" s="143"/>
      <c r="J161" s="143"/>
      <c r="K161" s="143"/>
      <c r="L161" s="159"/>
    </row>
    <row r="162" spans="1:12" ht="13.5" thickBot="1">
      <c r="A162" s="301"/>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01" t="s">
        <v>56</v>
      </c>
      <c r="B212" s="156" t="s">
        <v>57</v>
      </c>
      <c r="C212" s="130"/>
      <c r="D212" s="130"/>
      <c r="E212" s="130"/>
      <c r="F212" s="130"/>
      <c r="G212" s="130"/>
      <c r="H212" s="130"/>
      <c r="I212" s="130"/>
      <c r="J212" s="130"/>
      <c r="K212" s="130"/>
      <c r="L212" s="157"/>
    </row>
    <row r="213" spans="1:12">
      <c r="A213" s="301"/>
      <c r="B213" s="158"/>
      <c r="C213" s="143"/>
      <c r="D213" s="143"/>
      <c r="E213" s="143"/>
      <c r="F213" s="143"/>
      <c r="G213" s="143"/>
      <c r="H213" s="143"/>
      <c r="I213" s="143"/>
      <c r="J213" s="143"/>
      <c r="K213" s="143"/>
      <c r="L213" s="159"/>
    </row>
    <row r="214" spans="1:12" ht="13.5" thickBot="1">
      <c r="A214" s="301"/>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02" t="s">
        <v>113</v>
      </c>
      <c r="D243" s="303"/>
      <c r="E243" s="303"/>
      <c r="F243" s="303"/>
      <c r="G243" s="304"/>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02" t="s">
        <v>123</v>
      </c>
      <c r="D247" s="303"/>
      <c r="E247" s="303"/>
      <c r="F247" s="303"/>
      <c r="G247" s="304"/>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05" t="s">
        <v>78</v>
      </c>
    </row>
    <row r="257" spans="1:12">
      <c r="C257" s="189" t="s">
        <v>131</v>
      </c>
      <c r="D257" s="189" t="s">
        <v>132</v>
      </c>
      <c r="E257" s="189">
        <f>300/330</f>
        <v>0.90909090909090906</v>
      </c>
      <c r="F257" s="306"/>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01" t="s">
        <v>56</v>
      </c>
      <c r="B263" s="190" t="s">
        <v>135</v>
      </c>
      <c r="C263" s="122"/>
      <c r="D263" s="122"/>
      <c r="E263" s="122"/>
      <c r="F263" s="122"/>
      <c r="G263" s="122"/>
      <c r="H263" s="122"/>
      <c r="I263" s="122"/>
      <c r="J263" s="122"/>
      <c r="K263" s="122"/>
      <c r="L263" s="191"/>
    </row>
    <row r="264" spans="1:12" ht="14.25">
      <c r="A264" s="301"/>
      <c r="B264" s="190" t="s">
        <v>136</v>
      </c>
      <c r="L264" s="181"/>
    </row>
    <row r="265" spans="1:12" ht="13.5" thickBot="1">
      <c r="A265" s="301"/>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election activeCell="L21" sqref="L21"/>
    </sheetView>
  </sheetViews>
  <sheetFormatPr defaultColWidth="9.125" defaultRowHeight="14.25"/>
  <sheetData/>
  <pageMargins left="0.7" right="0.7" top="0.75" bottom="0.75" header="0.3" footer="0.3"/>
  <pageSetup orientation="portrait" r:id="rId1"/>
  <customProperties>
    <customPr name="DynardoMOPSolver"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6" t="s">
        <v>139</v>
      </c>
      <c r="B1" s="247" t="s">
        <v>140</v>
      </c>
      <c r="C1" s="250" t="s">
        <v>141</v>
      </c>
      <c r="D1" s="253" t="s">
        <v>142</v>
      </c>
      <c r="E1" s="256" t="s">
        <v>143</v>
      </c>
      <c r="F1" s="261" t="s">
        <v>144</v>
      </c>
      <c r="G1" s="241" t="s">
        <v>145</v>
      </c>
      <c r="H1" s="242" t="s">
        <v>146</v>
      </c>
      <c r="I1" s="268" t="s">
        <v>147</v>
      </c>
      <c r="J1" s="269" t="s">
        <v>148</v>
      </c>
      <c r="K1" s="266" t="s">
        <v>149</v>
      </c>
      <c r="L1" s="270" t="s">
        <v>150</v>
      </c>
      <c r="M1" s="270" t="s">
        <v>151</v>
      </c>
      <c r="N1" s="270" t="s">
        <v>152</v>
      </c>
      <c r="O1" s="247" t="s">
        <v>153</v>
      </c>
      <c r="P1" s="250" t="s">
        <v>154</v>
      </c>
      <c r="Q1" s="253" t="s">
        <v>155</v>
      </c>
      <c r="R1" s="256" t="s">
        <v>156</v>
      </c>
      <c r="S1" s="261" t="s">
        <v>157</v>
      </c>
      <c r="T1" s="241" t="s">
        <v>158</v>
      </c>
      <c r="U1" s="242" t="s">
        <v>159</v>
      </c>
      <c r="V1" s="262" t="s">
        <v>160</v>
      </c>
      <c r="W1" s="264" t="s">
        <v>161</v>
      </c>
      <c r="X1" s="266" t="s">
        <v>162</v>
      </c>
      <c r="Y1" s="271" t="s">
        <v>163</v>
      </c>
      <c r="Z1" s="271" t="s">
        <v>164</v>
      </c>
      <c r="AA1" s="272" t="s">
        <v>165</v>
      </c>
    </row>
    <row r="2" spans="1:27" ht="14.45" customHeight="1">
      <c r="A2" s="237" t="s">
        <v>166</v>
      </c>
      <c r="B2" s="248">
        <v>2.5</v>
      </c>
      <c r="C2" s="251">
        <v>0</v>
      </c>
      <c r="D2" s="254">
        <v>2.38</v>
      </c>
      <c r="E2" s="257">
        <v>2.5</v>
      </c>
      <c r="F2" s="259">
        <v>2.5099999999999998</v>
      </c>
      <c r="G2" s="243">
        <v>0.81</v>
      </c>
      <c r="H2" s="244">
        <v>1.1000000000000001</v>
      </c>
      <c r="I2" s="273">
        <v>2.1</v>
      </c>
      <c r="J2" s="274">
        <v>2.8130000000000002</v>
      </c>
      <c r="K2" s="275">
        <v>1.5</v>
      </c>
      <c r="L2" s="276">
        <f>AVERAGE(B2,D2,E2,F2,G2,H2,I2,J2,K2)</f>
        <v>2.0236666666666667</v>
      </c>
      <c r="M2" s="276">
        <f>MODE(B2,D2,E2,F2,G2,H2,I2,J2,K2)</f>
        <v>2.5</v>
      </c>
      <c r="N2" s="276">
        <f>MEDIAN(B2,D2,E2,F2,G2,H2,I2,J2,K2)</f>
        <v>2.38</v>
      </c>
      <c r="O2" s="248">
        <f t="shared" ref="O2:O10" si="0">B2-L2</f>
        <v>0.47633333333333328</v>
      </c>
      <c r="P2" s="251">
        <f t="shared" ref="P2:P10" si="1">C2-L2</f>
        <v>-2.0236666666666667</v>
      </c>
      <c r="Q2" s="254">
        <f t="shared" ref="Q2:Q10" si="2">D2-L2</f>
        <v>0.35633333333333317</v>
      </c>
      <c r="R2" s="257">
        <f>E2-L2</f>
        <v>0.47633333333333328</v>
      </c>
      <c r="S2" s="259">
        <f t="shared" ref="S2:S10" si="3">F2-L2</f>
        <v>0.48633333333333306</v>
      </c>
      <c r="T2" s="243">
        <f t="shared" ref="T2:T10" si="4">G2-L2</f>
        <v>-1.2136666666666667</v>
      </c>
      <c r="U2" s="244">
        <f t="shared" ref="U2:U10" si="5">H2-L2</f>
        <v>-0.92366666666666664</v>
      </c>
      <c r="V2" s="263">
        <f t="shared" ref="V2:V10" si="6">I2-L2</f>
        <v>7.6333333333333364E-2</v>
      </c>
      <c r="W2" s="265">
        <f t="shared" ref="W2:W10" si="7">J2-L2</f>
        <v>0.78933333333333344</v>
      </c>
      <c r="X2" s="267">
        <f t="shared" ref="X2:X10" si="8">K2-L2</f>
        <v>-0.52366666666666672</v>
      </c>
      <c r="Y2" s="235">
        <f t="shared" ref="Y2:Y10" si="9">ABS(MIN(O2,P2,Q2,R2,S2,T2,U2,V2,W2,X2))</f>
        <v>2.0236666666666667</v>
      </c>
      <c r="Z2" s="235">
        <f t="shared" ref="Z2:Z10" si="10">MAX(O2,P2,Q2,R2,S2,T2,U2,V2,W2,X2)</f>
        <v>0.78933333333333344</v>
      </c>
      <c r="AA2" s="277">
        <f t="shared" ref="AA2:AA10" si="11">MAX(Y2,Z2)</f>
        <v>2.0236666666666667</v>
      </c>
    </row>
    <row r="3" spans="1:27" ht="14.45" customHeight="1">
      <c r="A3" s="237" t="s">
        <v>167</v>
      </c>
      <c r="B3" s="248">
        <v>13</v>
      </c>
      <c r="C3" s="251">
        <v>17.38</v>
      </c>
      <c r="D3" s="254">
        <v>26</v>
      </c>
      <c r="E3" s="257">
        <v>21</v>
      </c>
      <c r="F3" s="259">
        <v>21.6</v>
      </c>
      <c r="G3" s="243">
        <v>4.6760000000000002</v>
      </c>
      <c r="H3" s="244">
        <v>0.46200000000000002</v>
      </c>
      <c r="I3" s="273">
        <v>7</v>
      </c>
      <c r="J3" s="274">
        <v>33</v>
      </c>
      <c r="K3" s="275">
        <v>32</v>
      </c>
      <c r="L3" s="276">
        <f>AVERAGE(B3,C3,D3,E3,F3,G3,H3,I3,J3,K3)</f>
        <v>17.611799999999999</v>
      </c>
      <c r="M3" s="276" t="e">
        <f>MODE(B3,C3,D3,E3,F3,G3,H3,I3,J3,K3)</f>
        <v>#N/A</v>
      </c>
      <c r="N3" s="276">
        <f>MEDIAN(B3,C3,D3,E3,F3,G3,H3,I3,J3,K3)</f>
        <v>19.189999999999998</v>
      </c>
      <c r="O3" s="248">
        <f t="shared" si="0"/>
        <v>-4.6117999999999988</v>
      </c>
      <c r="P3" s="251">
        <f t="shared" si="1"/>
        <v>-0.23179999999999978</v>
      </c>
      <c r="Q3" s="254">
        <f t="shared" si="2"/>
        <v>8.3882000000000012</v>
      </c>
      <c r="R3" s="257">
        <f>J3-L3</f>
        <v>15.388200000000001</v>
      </c>
      <c r="S3" s="259">
        <f t="shared" si="3"/>
        <v>3.9882000000000026</v>
      </c>
      <c r="T3" s="243">
        <f t="shared" si="4"/>
        <v>-12.935799999999999</v>
      </c>
      <c r="U3" s="244">
        <f t="shared" si="5"/>
        <v>-17.149799999999999</v>
      </c>
      <c r="V3" s="263">
        <f t="shared" si="6"/>
        <v>-10.611799999999999</v>
      </c>
      <c r="W3" s="265">
        <f t="shared" si="7"/>
        <v>15.388200000000001</v>
      </c>
      <c r="X3" s="267">
        <f t="shared" si="8"/>
        <v>14.388200000000001</v>
      </c>
      <c r="Y3" s="235">
        <f t="shared" si="9"/>
        <v>17.149799999999999</v>
      </c>
      <c r="Z3" s="235">
        <f t="shared" si="10"/>
        <v>15.388200000000001</v>
      </c>
      <c r="AA3" s="277">
        <f t="shared" si="11"/>
        <v>17.149799999999999</v>
      </c>
    </row>
    <row r="4" spans="1:27" ht="14.45" customHeight="1">
      <c r="A4" s="237" t="s">
        <v>168</v>
      </c>
      <c r="B4" s="248">
        <v>13</v>
      </c>
      <c r="C4" s="251">
        <v>32.21</v>
      </c>
      <c r="D4" s="254">
        <v>26</v>
      </c>
      <c r="E4" s="257">
        <v>21</v>
      </c>
      <c r="F4" s="259">
        <v>21.6</v>
      </c>
      <c r="G4" s="243">
        <v>7.6319999999999997</v>
      </c>
      <c r="H4" s="244">
        <v>0.80700000000000005</v>
      </c>
      <c r="I4" s="273">
        <v>7</v>
      </c>
      <c r="J4" s="274">
        <v>38</v>
      </c>
      <c r="K4" s="275">
        <v>32</v>
      </c>
      <c r="L4" s="276">
        <f>AVERAGE(B4,C4,D4,E4,F4,G4,H4,I4,J4,K4)</f>
        <v>19.924900000000001</v>
      </c>
      <c r="M4" s="276" t="e">
        <f>MODE(B4,C4,D4,E4,F4,G4,H4,I4,J4,K4)</f>
        <v>#N/A</v>
      </c>
      <c r="N4" s="276">
        <f>MEDIAN(B4,C4,D4,E4,F4,G4,H4,I4,J4,K4)</f>
        <v>21.3</v>
      </c>
      <c r="O4" s="248">
        <f t="shared" si="0"/>
        <v>-6.9249000000000009</v>
      </c>
      <c r="P4" s="251">
        <f t="shared" si="1"/>
        <v>12.2851</v>
      </c>
      <c r="Q4" s="254">
        <f t="shared" si="2"/>
        <v>6.0750999999999991</v>
      </c>
      <c r="R4" s="257">
        <f>J4-L4</f>
        <v>18.075099999999999</v>
      </c>
      <c r="S4" s="259">
        <f t="shared" si="3"/>
        <v>1.6751000000000005</v>
      </c>
      <c r="T4" s="243">
        <f t="shared" si="4"/>
        <v>-12.292900000000001</v>
      </c>
      <c r="U4" s="244">
        <f t="shared" si="5"/>
        <v>-19.117900000000002</v>
      </c>
      <c r="V4" s="263">
        <f t="shared" si="6"/>
        <v>-12.924900000000001</v>
      </c>
      <c r="W4" s="265">
        <f t="shared" si="7"/>
        <v>18.075099999999999</v>
      </c>
      <c r="X4" s="267">
        <f t="shared" si="8"/>
        <v>12.075099999999999</v>
      </c>
      <c r="Y4" s="235">
        <f t="shared" si="9"/>
        <v>19.117900000000002</v>
      </c>
      <c r="Z4" s="235">
        <f t="shared" si="10"/>
        <v>18.075099999999999</v>
      </c>
      <c r="AA4" s="277">
        <f t="shared" si="11"/>
        <v>19.117900000000002</v>
      </c>
    </row>
    <row r="5" spans="1:27" ht="14.45" customHeight="1">
      <c r="A5" s="237" t="s">
        <v>169</v>
      </c>
      <c r="B5" s="248">
        <v>1.4</v>
      </c>
      <c r="C5" s="251">
        <v>4</v>
      </c>
      <c r="D5" s="254">
        <v>0</v>
      </c>
      <c r="E5" s="257">
        <v>0</v>
      </c>
      <c r="F5" s="259">
        <v>0</v>
      </c>
      <c r="G5" s="243">
        <v>0</v>
      </c>
      <c r="H5" s="244">
        <v>0</v>
      </c>
      <c r="I5" s="273">
        <v>0</v>
      </c>
      <c r="J5" s="274">
        <v>12.2</v>
      </c>
      <c r="K5" s="275">
        <v>1</v>
      </c>
      <c r="L5" s="276">
        <f>AVERAGE(B5,C5,J5,K5)</f>
        <v>4.6500000000000004</v>
      </c>
      <c r="M5" s="276" t="e">
        <f>MODE(B5,C5,J5,K5)</f>
        <v>#N/A</v>
      </c>
      <c r="N5" s="276">
        <f>MEDIAN(B5,C5,J5,K5)</f>
        <v>2.7</v>
      </c>
      <c r="O5" s="248">
        <f t="shared" si="0"/>
        <v>-3.2500000000000004</v>
      </c>
      <c r="P5" s="251">
        <f t="shared" si="1"/>
        <v>-0.65000000000000036</v>
      </c>
      <c r="Q5" s="254">
        <f t="shared" si="2"/>
        <v>-4.6500000000000004</v>
      </c>
      <c r="R5" s="257">
        <f>J5-L5</f>
        <v>7.5499999999999989</v>
      </c>
      <c r="S5" s="259">
        <f t="shared" si="3"/>
        <v>-4.6500000000000004</v>
      </c>
      <c r="T5" s="243">
        <f t="shared" si="4"/>
        <v>-4.6500000000000004</v>
      </c>
      <c r="U5" s="244">
        <f t="shared" si="5"/>
        <v>-4.6500000000000004</v>
      </c>
      <c r="V5" s="263">
        <f t="shared" si="6"/>
        <v>-4.6500000000000004</v>
      </c>
      <c r="W5" s="265">
        <f t="shared" si="7"/>
        <v>7.5499999999999989</v>
      </c>
      <c r="X5" s="267">
        <f t="shared" si="8"/>
        <v>-3.6500000000000004</v>
      </c>
      <c r="Y5" s="235">
        <f t="shared" si="9"/>
        <v>4.6500000000000004</v>
      </c>
      <c r="Z5" s="235">
        <f t="shared" si="10"/>
        <v>7.5499999999999989</v>
      </c>
      <c r="AA5" s="277">
        <f t="shared" si="11"/>
        <v>7.5499999999999989</v>
      </c>
    </row>
    <row r="6" spans="1:27" ht="14.45" customHeight="1">
      <c r="A6" s="238" t="s">
        <v>170</v>
      </c>
      <c r="B6" s="248">
        <v>2000</v>
      </c>
      <c r="C6" s="251">
        <v>20145.7</v>
      </c>
      <c r="D6" s="254">
        <v>0</v>
      </c>
      <c r="E6" s="257">
        <v>0</v>
      </c>
      <c r="F6" s="259">
        <v>0</v>
      </c>
      <c r="G6" s="243">
        <v>4356</v>
      </c>
      <c r="H6" s="244">
        <v>150</v>
      </c>
      <c r="I6" s="273">
        <v>0</v>
      </c>
      <c r="J6" s="274">
        <v>0</v>
      </c>
      <c r="K6" s="275">
        <v>0</v>
      </c>
      <c r="L6" s="276">
        <f>AVERAGE(B6,C6,G6,H6)</f>
        <v>6662.9250000000002</v>
      </c>
      <c r="M6" s="276" t="e">
        <f>MODE(B6,C6,G6,H6)</f>
        <v>#N/A</v>
      </c>
      <c r="N6" s="276">
        <f>MEDIAN(B6,C6,G6,H6)</f>
        <v>3178</v>
      </c>
      <c r="O6" s="248">
        <f t="shared" si="0"/>
        <v>-4662.9250000000002</v>
      </c>
      <c r="P6" s="251">
        <f t="shared" si="1"/>
        <v>13482.775000000001</v>
      </c>
      <c r="Q6" s="254">
        <f t="shared" si="2"/>
        <v>-6662.9250000000002</v>
      </c>
      <c r="R6" s="257">
        <f>J6-L6</f>
        <v>-6662.9250000000002</v>
      </c>
      <c r="S6" s="259">
        <f t="shared" si="3"/>
        <v>-6662.9250000000002</v>
      </c>
      <c r="T6" s="243">
        <f t="shared" si="4"/>
        <v>-2306.9250000000002</v>
      </c>
      <c r="U6" s="244">
        <f t="shared" si="5"/>
        <v>-6512.9250000000002</v>
      </c>
      <c r="V6" s="263">
        <f t="shared" si="6"/>
        <v>-6662.9250000000002</v>
      </c>
      <c r="W6" s="265">
        <f t="shared" si="7"/>
        <v>-6662.9250000000002</v>
      </c>
      <c r="X6" s="267">
        <f t="shared" si="8"/>
        <v>-6662.9250000000002</v>
      </c>
      <c r="Y6" s="235">
        <f t="shared" si="9"/>
        <v>6662.9250000000002</v>
      </c>
      <c r="Z6" s="235">
        <f t="shared" si="10"/>
        <v>13482.775000000001</v>
      </c>
      <c r="AA6" s="277">
        <f t="shared" si="11"/>
        <v>13482.775000000001</v>
      </c>
    </row>
    <row r="7" spans="1:27" ht="14.45" customHeight="1">
      <c r="A7" s="237" t="s">
        <v>171</v>
      </c>
      <c r="B7" s="248">
        <v>800</v>
      </c>
      <c r="C7" s="251">
        <v>8034.6</v>
      </c>
      <c r="D7" s="254">
        <v>2945</v>
      </c>
      <c r="E7" s="257">
        <v>2953</v>
      </c>
      <c r="F7" s="259">
        <v>2827</v>
      </c>
      <c r="G7" s="243">
        <v>2280</v>
      </c>
      <c r="H7" s="244">
        <v>300</v>
      </c>
      <c r="I7" s="273">
        <v>0</v>
      </c>
      <c r="J7" s="274">
        <v>0</v>
      </c>
      <c r="K7" s="275">
        <v>0</v>
      </c>
      <c r="L7" s="276">
        <f>AVERAGE(B7,C7,D7,E7,F7,G7,H7)</f>
        <v>2877.0857142857139</v>
      </c>
      <c r="M7" s="276" t="e">
        <f>MODE(B7,C7,D7,E7,F7,G7,H7)</f>
        <v>#N/A</v>
      </c>
      <c r="N7" s="276">
        <f>MEDIAN(B7,C7,D7,E7,F7,G7,H7)</f>
        <v>2827</v>
      </c>
      <c r="O7" s="248">
        <f t="shared" si="0"/>
        <v>-2077.0857142857139</v>
      </c>
      <c r="P7" s="251">
        <f t="shared" si="1"/>
        <v>5157.5142857142864</v>
      </c>
      <c r="Q7" s="254">
        <f t="shared" si="2"/>
        <v>67.914285714286052</v>
      </c>
      <c r="R7" s="257">
        <f>J7-L7</f>
        <v>-2877.0857142857139</v>
      </c>
      <c r="S7" s="259">
        <f t="shared" si="3"/>
        <v>-50.085714285713948</v>
      </c>
      <c r="T7" s="243">
        <f t="shared" si="4"/>
        <v>-597.08571428571395</v>
      </c>
      <c r="U7" s="244">
        <f t="shared" si="5"/>
        <v>-2577.0857142857139</v>
      </c>
      <c r="V7" s="263">
        <f t="shared" si="6"/>
        <v>-2877.0857142857139</v>
      </c>
      <c r="W7" s="265">
        <f t="shared" si="7"/>
        <v>-2877.0857142857139</v>
      </c>
      <c r="X7" s="267">
        <f t="shared" si="8"/>
        <v>-2877.0857142857139</v>
      </c>
      <c r="Y7" s="235">
        <f t="shared" si="9"/>
        <v>2877.0857142857139</v>
      </c>
      <c r="Z7" s="235">
        <f t="shared" si="10"/>
        <v>5157.5142857142864</v>
      </c>
      <c r="AA7" s="277">
        <f t="shared" si="11"/>
        <v>5157.5142857142864</v>
      </c>
    </row>
    <row r="8" spans="1:27" ht="14.45" customHeight="1">
      <c r="A8" s="237" t="s">
        <v>172</v>
      </c>
      <c r="B8" s="248">
        <v>0</v>
      </c>
      <c r="C8" s="251">
        <v>22.73</v>
      </c>
      <c r="D8" s="254" t="s">
        <v>173</v>
      </c>
      <c r="E8" s="257" t="s">
        <v>173</v>
      </c>
      <c r="F8" s="259" t="s">
        <v>173</v>
      </c>
      <c r="G8" s="243" t="s">
        <v>173</v>
      </c>
      <c r="H8" s="244" t="s">
        <v>173</v>
      </c>
      <c r="I8" s="273" t="s">
        <v>173</v>
      </c>
      <c r="J8" s="274" t="s">
        <v>173</v>
      </c>
      <c r="K8" s="275" t="s">
        <v>173</v>
      </c>
      <c r="L8" s="276">
        <f>AVERAGE(B8,C8,J8,K8)</f>
        <v>11.365</v>
      </c>
      <c r="M8" s="276" t="s">
        <v>173</v>
      </c>
      <c r="N8" s="276" t="s">
        <v>173</v>
      </c>
      <c r="O8" s="248">
        <f t="shared" si="0"/>
        <v>-11.365</v>
      </c>
      <c r="P8" s="251">
        <f t="shared" si="1"/>
        <v>11.365</v>
      </c>
      <c r="Q8" s="254" t="e">
        <f t="shared" si="2"/>
        <v>#VALUE!</v>
      </c>
      <c r="R8" s="257" t="s">
        <v>173</v>
      </c>
      <c r="S8" s="259" t="e">
        <f t="shared" si="3"/>
        <v>#VALUE!</v>
      </c>
      <c r="T8" s="243" t="e">
        <f t="shared" si="4"/>
        <v>#VALUE!</v>
      </c>
      <c r="U8" s="244" t="e">
        <f t="shared" si="5"/>
        <v>#VALUE!</v>
      </c>
      <c r="V8" s="263" t="e">
        <f t="shared" si="6"/>
        <v>#VALUE!</v>
      </c>
      <c r="W8" s="265" t="e">
        <f t="shared" si="7"/>
        <v>#VALUE!</v>
      </c>
      <c r="X8" s="267" t="e">
        <f t="shared" si="8"/>
        <v>#VALUE!</v>
      </c>
      <c r="Y8" s="235" t="e">
        <f t="shared" si="9"/>
        <v>#VALUE!</v>
      </c>
      <c r="Z8" s="235" t="e">
        <f t="shared" si="10"/>
        <v>#VALUE!</v>
      </c>
      <c r="AA8" s="277" t="e">
        <f t="shared" si="11"/>
        <v>#VALUE!</v>
      </c>
    </row>
    <row r="9" spans="1:27" ht="14.45" customHeight="1">
      <c r="A9" s="237" t="s">
        <v>174</v>
      </c>
      <c r="B9" s="248">
        <v>180</v>
      </c>
      <c r="C9" s="251">
        <v>0</v>
      </c>
      <c r="D9" s="254">
        <v>833</v>
      </c>
      <c r="E9" s="257">
        <v>319</v>
      </c>
      <c r="F9" s="259">
        <v>272</v>
      </c>
      <c r="G9" s="243">
        <v>0</v>
      </c>
      <c r="H9" s="244">
        <v>0</v>
      </c>
      <c r="I9" s="273">
        <v>0</v>
      </c>
      <c r="J9" s="274">
        <v>1428</v>
      </c>
      <c r="K9" s="275">
        <v>0</v>
      </c>
      <c r="L9" s="276">
        <f>AVERAGE(B9,D9,E9,F9,J9)</f>
        <v>606.4</v>
      </c>
      <c r="M9" s="276" t="e">
        <f>MODE(B9,D9,E9,F9,J9)</f>
        <v>#N/A</v>
      </c>
      <c r="N9" s="276">
        <f>MEDIAN(B9,D9,E9,F9,J9)</f>
        <v>319</v>
      </c>
      <c r="O9" s="248">
        <f t="shared" si="0"/>
        <v>-426.4</v>
      </c>
      <c r="P9" s="251">
        <f t="shared" si="1"/>
        <v>-606.4</v>
      </c>
      <c r="Q9" s="254">
        <f t="shared" si="2"/>
        <v>226.60000000000002</v>
      </c>
      <c r="R9" s="257">
        <f>J9-L9</f>
        <v>821.6</v>
      </c>
      <c r="S9" s="259">
        <f t="shared" si="3"/>
        <v>-334.4</v>
      </c>
      <c r="T9" s="243">
        <f t="shared" si="4"/>
        <v>-606.4</v>
      </c>
      <c r="U9" s="244">
        <f t="shared" si="5"/>
        <v>-606.4</v>
      </c>
      <c r="V9" s="263">
        <f t="shared" si="6"/>
        <v>-606.4</v>
      </c>
      <c r="W9" s="265">
        <f t="shared" si="7"/>
        <v>821.6</v>
      </c>
      <c r="X9" s="267">
        <f t="shared" si="8"/>
        <v>-606.4</v>
      </c>
      <c r="Y9" s="235">
        <f t="shared" si="9"/>
        <v>606.4</v>
      </c>
      <c r="Z9" s="235">
        <f t="shared" si="10"/>
        <v>821.6</v>
      </c>
      <c r="AA9" s="277">
        <f t="shared" si="11"/>
        <v>821.6</v>
      </c>
    </row>
    <row r="10" spans="1:27" ht="14.45" customHeight="1" thickBot="1">
      <c r="A10" s="239" t="s">
        <v>175</v>
      </c>
      <c r="B10" s="249">
        <v>0</v>
      </c>
      <c r="C10" s="252">
        <v>9.8000000000000007</v>
      </c>
      <c r="D10" s="255">
        <v>13.9</v>
      </c>
      <c r="E10" s="258">
        <v>13.9</v>
      </c>
      <c r="F10" s="260">
        <v>11.7</v>
      </c>
      <c r="G10" s="245">
        <v>7.6</v>
      </c>
      <c r="H10" s="246">
        <v>4.3</v>
      </c>
      <c r="I10" s="278">
        <v>10</v>
      </c>
      <c r="J10" s="279">
        <v>20</v>
      </c>
      <c r="K10" s="280">
        <v>7.5</v>
      </c>
      <c r="L10" s="281">
        <f>AVERAGE(C10,D10,E10,F10,G10,H10,I10,J10,K10)</f>
        <v>10.966666666666665</v>
      </c>
      <c r="M10" s="281">
        <f>MODE(D10,E10,F10,G10,H10,I10,J10,K10)</f>
        <v>13.9</v>
      </c>
      <c r="N10" s="281">
        <f>MEDIAN(D10,E10,F10,G10,H10,I10,J10,K10)</f>
        <v>10.85</v>
      </c>
      <c r="O10" s="249">
        <f t="shared" si="0"/>
        <v>-10.966666666666665</v>
      </c>
      <c r="P10" s="252">
        <f t="shared" si="1"/>
        <v>-1.1666666666666643</v>
      </c>
      <c r="Q10" s="254">
        <f t="shared" si="2"/>
        <v>2.9333333333333353</v>
      </c>
      <c r="R10" s="258">
        <f>J10-L10</f>
        <v>9.033333333333335</v>
      </c>
      <c r="S10" s="259">
        <f t="shared" si="3"/>
        <v>0.73333333333333428</v>
      </c>
      <c r="T10" s="243">
        <f t="shared" si="4"/>
        <v>-3.3666666666666654</v>
      </c>
      <c r="U10" s="244">
        <f t="shared" si="5"/>
        <v>-6.6666666666666652</v>
      </c>
      <c r="V10" s="263">
        <f t="shared" si="6"/>
        <v>-0.96666666666666501</v>
      </c>
      <c r="W10" s="265">
        <f t="shared" si="7"/>
        <v>9.033333333333335</v>
      </c>
      <c r="X10" s="267">
        <f t="shared" si="8"/>
        <v>-3.466666666666665</v>
      </c>
      <c r="Y10" s="235">
        <f t="shared" si="9"/>
        <v>10.966666666666665</v>
      </c>
      <c r="Z10" s="235">
        <f t="shared" si="10"/>
        <v>9.033333333333335</v>
      </c>
      <c r="AA10" s="277">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6" t="s">
        <v>176</v>
      </c>
      <c r="B12" s="282" t="e">
        <f t="shared" ref="B12:K12" si="12">B2/(B10/100)</f>
        <v>#DIV/0!</v>
      </c>
      <c r="C12" s="282">
        <f t="shared" si="12"/>
        <v>0</v>
      </c>
      <c r="D12" s="282">
        <f t="shared" si="12"/>
        <v>17.122302158273378</v>
      </c>
      <c r="E12" s="282">
        <f t="shared" si="12"/>
        <v>17.985611510791365</v>
      </c>
      <c r="F12" s="282">
        <f t="shared" si="12"/>
        <v>21.452991452991451</v>
      </c>
      <c r="G12" s="282">
        <f t="shared" si="12"/>
        <v>10.657894736842106</v>
      </c>
      <c r="H12" s="282">
        <f t="shared" si="12"/>
        <v>25.581395348837212</v>
      </c>
      <c r="I12" s="282">
        <f t="shared" si="12"/>
        <v>21</v>
      </c>
      <c r="J12" s="282">
        <f t="shared" si="12"/>
        <v>14.065</v>
      </c>
      <c r="K12" s="283">
        <f t="shared" si="12"/>
        <v>20</v>
      </c>
      <c r="L12" s="14"/>
      <c r="M12" s="14"/>
      <c r="N12" s="14"/>
    </row>
    <row r="13" spans="1:27" ht="14.45" customHeight="1">
      <c r="A13" s="237" t="s">
        <v>177</v>
      </c>
      <c r="B13" s="234">
        <f t="shared" ref="B13:K13" si="13">B6/(B4*9.81)</f>
        <v>15.68258448992394</v>
      </c>
      <c r="C13" s="234">
        <f t="shared" si="13"/>
        <v>63.756230218295386</v>
      </c>
      <c r="D13" s="234">
        <f t="shared" si="13"/>
        <v>0</v>
      </c>
      <c r="E13" s="234">
        <f t="shared" si="13"/>
        <v>0</v>
      </c>
      <c r="F13" s="234">
        <f t="shared" si="13"/>
        <v>0</v>
      </c>
      <c r="G13" s="234">
        <f t="shared" si="13"/>
        <v>58.180908968514984</v>
      </c>
      <c r="H13" s="234">
        <f t="shared" si="13"/>
        <v>18.947360443216652</v>
      </c>
      <c r="I13" s="234">
        <f t="shared" si="13"/>
        <v>0</v>
      </c>
      <c r="J13" s="234">
        <f t="shared" si="13"/>
        <v>0</v>
      </c>
      <c r="K13" s="284">
        <f t="shared" si="13"/>
        <v>0</v>
      </c>
      <c r="L13" s="14"/>
      <c r="M13" s="14"/>
      <c r="N13" s="14"/>
    </row>
    <row r="14" spans="1:27" ht="14.45" customHeight="1">
      <c r="A14" s="237" t="s">
        <v>178</v>
      </c>
      <c r="B14" s="234">
        <f t="shared" ref="B14:K14" si="14">B7/(B4)</f>
        <v>61.53846153846154</v>
      </c>
      <c r="C14" s="234">
        <f t="shared" si="14"/>
        <v>249.44427196522818</v>
      </c>
      <c r="D14" s="234">
        <f t="shared" si="14"/>
        <v>113.26923076923077</v>
      </c>
      <c r="E14" s="234">
        <f t="shared" si="14"/>
        <v>140.61904761904762</v>
      </c>
      <c r="F14" s="234">
        <f t="shared" si="14"/>
        <v>130.87962962962962</v>
      </c>
      <c r="G14" s="234">
        <f t="shared" si="14"/>
        <v>298.74213836477986</v>
      </c>
      <c r="H14" s="234">
        <f t="shared" si="14"/>
        <v>371.74721189591077</v>
      </c>
      <c r="I14" s="234">
        <f t="shared" si="14"/>
        <v>0</v>
      </c>
      <c r="J14" s="234">
        <f t="shared" si="14"/>
        <v>0</v>
      </c>
      <c r="K14" s="284">
        <f t="shared" si="14"/>
        <v>0</v>
      </c>
      <c r="L14" s="14"/>
      <c r="M14" s="14"/>
      <c r="N14" s="14"/>
    </row>
    <row r="15" spans="1:27">
      <c r="A15" s="285" t="s">
        <v>179</v>
      </c>
      <c r="B15" s="234">
        <f>B14/9.81</f>
        <v>6.2730337959695754</v>
      </c>
      <c r="C15" s="234">
        <f t="shared" ref="C15:F15" si="15">C14/9.81</f>
        <v>25.427550659044666</v>
      </c>
      <c r="D15" s="234">
        <f t="shared" si="15"/>
        <v>11.5463028307065</v>
      </c>
      <c r="E15" s="234">
        <f t="shared" si="15"/>
        <v>14.334255618659288</v>
      </c>
      <c r="F15" s="234">
        <f t="shared" si="15"/>
        <v>13.341450522898024</v>
      </c>
      <c r="G15" s="234">
        <f>G14/9.81</f>
        <v>30.45281736644035</v>
      </c>
      <c r="H15" s="234">
        <f>H14/9.81</f>
        <v>37.894720886433305</v>
      </c>
      <c r="I15" s="234">
        <f>I14/9.81</f>
        <v>0</v>
      </c>
      <c r="J15" s="234">
        <f>J14/9.81</f>
        <v>0</v>
      </c>
      <c r="K15" s="284">
        <f>K14/9.81</f>
        <v>0</v>
      </c>
      <c r="L15" s="14"/>
      <c r="M15" s="14"/>
      <c r="N15" s="14"/>
    </row>
    <row r="16" spans="1:27">
      <c r="A16" s="237" t="s">
        <v>180</v>
      </c>
      <c r="B16" s="234">
        <f t="shared" ref="B16:K16" si="16">B7/(B4*9.81)</f>
        <v>6.2730337959695754</v>
      </c>
      <c r="C16" s="234">
        <f t="shared" si="16"/>
        <v>25.427550659044666</v>
      </c>
      <c r="D16" s="234">
        <f t="shared" si="16"/>
        <v>11.5463028307065</v>
      </c>
      <c r="E16" s="234">
        <f t="shared" si="16"/>
        <v>14.334255618659286</v>
      </c>
      <c r="F16" s="234">
        <f t="shared" si="16"/>
        <v>13.341450522898025</v>
      </c>
      <c r="G16" s="234">
        <f t="shared" si="16"/>
        <v>30.45281736644035</v>
      </c>
      <c r="H16" s="234">
        <f t="shared" si="16"/>
        <v>37.894720886433305</v>
      </c>
      <c r="I16" s="234">
        <f t="shared" si="16"/>
        <v>0</v>
      </c>
      <c r="J16" s="234">
        <f t="shared" si="16"/>
        <v>0</v>
      </c>
      <c r="K16" s="284">
        <f t="shared" si="16"/>
        <v>0</v>
      </c>
      <c r="L16" s="14"/>
      <c r="M16" s="14"/>
      <c r="N16" s="14"/>
    </row>
    <row r="17" spans="1:14" ht="15" thickBot="1">
      <c r="A17" s="239" t="s">
        <v>78</v>
      </c>
      <c r="B17" s="240">
        <f t="shared" ref="B17:K17" si="17">B9/330</f>
        <v>0.54545454545454541</v>
      </c>
      <c r="C17" s="240">
        <f t="shared" si="17"/>
        <v>0</v>
      </c>
      <c r="D17" s="240">
        <f t="shared" si="17"/>
        <v>2.5242424242424244</v>
      </c>
      <c r="E17" s="240">
        <f t="shared" si="17"/>
        <v>0.96666666666666667</v>
      </c>
      <c r="F17" s="240">
        <f t="shared" si="17"/>
        <v>0.82424242424242422</v>
      </c>
      <c r="G17" s="240">
        <f t="shared" si="17"/>
        <v>0</v>
      </c>
      <c r="H17" s="240">
        <f t="shared" si="17"/>
        <v>0</v>
      </c>
      <c r="I17" s="240">
        <f t="shared" si="17"/>
        <v>0</v>
      </c>
      <c r="J17" s="240">
        <f t="shared" si="17"/>
        <v>4.3272727272727272</v>
      </c>
      <c r="K17" s="286">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07" t="s">
        <v>182</v>
      </c>
      <c r="C2" s="308"/>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2">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11" t="s">
        <v>192</v>
      </c>
      <c r="D12" s="312"/>
      <c r="E12" s="312"/>
      <c r="F12" s="312"/>
      <c r="G12" s="313"/>
      <c r="H12" s="1" t="s">
        <v>193</v>
      </c>
      <c r="I12" s="1" t="s">
        <v>194</v>
      </c>
      <c r="J12" s="1" t="s">
        <v>195</v>
      </c>
      <c r="L12" s="72"/>
      <c r="M12" s="72"/>
      <c r="N12" s="8" t="s">
        <v>191</v>
      </c>
      <c r="O12" s="311" t="s">
        <v>196</v>
      </c>
      <c r="P12" s="312"/>
      <c r="Q12" s="312"/>
      <c r="R12" s="312"/>
      <c r="S12" s="313"/>
      <c r="T12" s="1" t="s">
        <v>193</v>
      </c>
      <c r="U12" s="1" t="s">
        <v>194</v>
      </c>
      <c r="V12" s="1" t="s">
        <v>195</v>
      </c>
    </row>
    <row r="13" spans="2:22">
      <c r="B13" s="309" t="s">
        <v>197</v>
      </c>
      <c r="C13" s="79"/>
      <c r="D13" s="80"/>
      <c r="E13" s="80"/>
      <c r="F13" s="80"/>
      <c r="G13" s="81"/>
      <c r="H13" s="1">
        <v>0</v>
      </c>
      <c r="I13" s="1">
        <v>0</v>
      </c>
      <c r="J13" s="1">
        <f>I13*-1</f>
        <v>0</v>
      </c>
      <c r="L13" s="72"/>
      <c r="M13" s="72"/>
      <c r="N13" s="309" t="s">
        <v>197</v>
      </c>
      <c r="O13" s="79"/>
      <c r="P13" s="80"/>
      <c r="Q13" s="80"/>
      <c r="R13" s="80"/>
      <c r="S13" s="81"/>
      <c r="T13" s="1">
        <v>0</v>
      </c>
      <c r="U13" s="1">
        <v>0</v>
      </c>
      <c r="V13" s="1">
        <f>U13*-1</f>
        <v>0</v>
      </c>
    </row>
    <row r="14" spans="2:22">
      <c r="B14" s="310"/>
      <c r="C14" s="82"/>
      <c r="D14" s="72"/>
      <c r="E14" s="72"/>
      <c r="F14" s="72"/>
      <c r="G14" s="83"/>
      <c r="H14" s="1">
        <f>(D26/8/2)</f>
        <v>1.875</v>
      </c>
      <c r="I14" s="1">
        <f t="shared" ref="I14:I22" si="0">H14*$D$24</f>
        <v>0.39687499999999998</v>
      </c>
      <c r="J14" s="1">
        <f t="shared" ref="J14:J22" si="1">I14*-1</f>
        <v>-0.39687499999999998</v>
      </c>
      <c r="L14" s="72"/>
      <c r="M14" s="72"/>
      <c r="N14" s="310"/>
      <c r="O14" s="82"/>
      <c r="P14" s="72"/>
      <c r="Q14" s="72"/>
      <c r="R14" s="72"/>
      <c r="S14" s="83"/>
      <c r="T14" s="1">
        <f>(P26/8/2)</f>
        <v>1.875</v>
      </c>
      <c r="U14" s="1">
        <f t="shared" ref="U14:U22" si="2">SQRT(Rogive^2-(LargeOgive-T14)^2)-(Rogive-$P$25/2)</f>
        <v>0.80028140974278017</v>
      </c>
      <c r="V14" s="1">
        <f>-U14</f>
        <v>-0.80028140974278017</v>
      </c>
    </row>
    <row r="15" spans="2:22">
      <c r="B15" s="310"/>
      <c r="C15" s="82"/>
      <c r="D15" s="72"/>
      <c r="E15" s="72"/>
      <c r="F15" s="72"/>
      <c r="G15" s="83"/>
      <c r="H15" s="1">
        <f>($D$26/8)+H14</f>
        <v>5.625</v>
      </c>
      <c r="I15" s="1">
        <f t="shared" si="0"/>
        <v>1.190625</v>
      </c>
      <c r="J15" s="1">
        <f t="shared" si="1"/>
        <v>-1.190625</v>
      </c>
      <c r="L15" s="72"/>
      <c r="M15" s="72"/>
      <c r="N15" s="310"/>
      <c r="O15" s="82"/>
      <c r="P15" s="72"/>
      <c r="Q15" s="72"/>
      <c r="R15" s="72"/>
      <c r="S15" s="83"/>
      <c r="T15" s="1">
        <f>($D$26/8)+T14</f>
        <v>5.625</v>
      </c>
      <c r="U15" s="1">
        <f t="shared" si="2"/>
        <v>2.2227341724329506</v>
      </c>
      <c r="V15" s="1">
        <f t="shared" ref="V15:V22" si="3">-U15</f>
        <v>-2.2227341724329506</v>
      </c>
    </row>
    <row r="16" spans="2:22">
      <c r="B16" s="310"/>
      <c r="C16" s="82"/>
      <c r="D16" s="72"/>
      <c r="E16" s="72"/>
      <c r="F16" s="72"/>
      <c r="G16" s="83"/>
      <c r="H16" s="1">
        <f t="shared" ref="H16:H21" si="4">($D$26/8)+H15</f>
        <v>9.375</v>
      </c>
      <c r="I16" s="1">
        <f t="shared" si="0"/>
        <v>1.984375</v>
      </c>
      <c r="J16" s="1">
        <f t="shared" si="1"/>
        <v>-1.984375</v>
      </c>
      <c r="L16" s="72"/>
      <c r="M16" s="72"/>
      <c r="N16" s="310"/>
      <c r="O16" s="82"/>
      <c r="P16" s="72"/>
      <c r="Q16" s="72"/>
      <c r="R16" s="72"/>
      <c r="S16" s="83"/>
      <c r="T16" s="1">
        <f t="shared" ref="T16:T21" si="5">($D$26/8)+T15</f>
        <v>9.375</v>
      </c>
      <c r="U16" s="1">
        <f t="shared" si="2"/>
        <v>3.4193360049676613</v>
      </c>
      <c r="V16" s="1">
        <f t="shared" si="3"/>
        <v>-3.4193360049676613</v>
      </c>
    </row>
    <row r="17" spans="2:22">
      <c r="B17" s="310"/>
      <c r="C17" s="82"/>
      <c r="D17" s="72"/>
      <c r="E17" s="72"/>
      <c r="F17" s="72"/>
      <c r="G17" s="83"/>
      <c r="H17" s="1">
        <f t="shared" si="4"/>
        <v>13.125</v>
      </c>
      <c r="I17" s="1">
        <f t="shared" si="0"/>
        <v>2.7781250000000002</v>
      </c>
      <c r="J17" s="1">
        <f t="shared" si="1"/>
        <v>-2.7781250000000002</v>
      </c>
      <c r="L17" s="72"/>
      <c r="M17" s="72"/>
      <c r="N17" s="310"/>
      <c r="O17" s="82"/>
      <c r="P17" s="72"/>
      <c r="Q17" s="72"/>
      <c r="R17" s="72"/>
      <c r="S17" s="83"/>
      <c r="T17" s="1">
        <f t="shared" si="5"/>
        <v>13.125</v>
      </c>
      <c r="U17" s="1">
        <f t="shared" si="2"/>
        <v>4.4013339085217069</v>
      </c>
      <c r="V17" s="1">
        <f t="shared" si="3"/>
        <v>-4.4013339085217069</v>
      </c>
    </row>
    <row r="18" spans="2:22">
      <c r="B18" s="310"/>
      <c r="C18" s="82"/>
      <c r="D18" s="72"/>
      <c r="E18" s="72"/>
      <c r="F18" s="72"/>
      <c r="G18" s="83"/>
      <c r="H18" s="1">
        <f t="shared" si="4"/>
        <v>16.875</v>
      </c>
      <c r="I18" s="1">
        <f t="shared" si="0"/>
        <v>3.5718749999999999</v>
      </c>
      <c r="J18" s="1">
        <f t="shared" si="1"/>
        <v>-3.5718749999999999</v>
      </c>
      <c r="L18" s="72"/>
      <c r="M18" s="72"/>
      <c r="N18" s="310"/>
      <c r="O18" s="82"/>
      <c r="P18" s="72"/>
      <c r="Q18" s="72"/>
      <c r="R18" s="72"/>
      <c r="S18" s="83"/>
      <c r="T18" s="1">
        <f>($D$26/8)+T17</f>
        <v>16.875</v>
      </c>
      <c r="U18" s="1">
        <f t="shared" si="2"/>
        <v>5.1774045961570891</v>
      </c>
      <c r="V18" s="1">
        <f t="shared" si="3"/>
        <v>-5.1774045961570891</v>
      </c>
    </row>
    <row r="19" spans="2:22">
      <c r="B19" s="310"/>
      <c r="C19" s="82"/>
      <c r="D19" s="72"/>
      <c r="E19" s="72"/>
      <c r="F19" s="72"/>
      <c r="G19" s="83"/>
      <c r="H19" s="1">
        <f t="shared" si="4"/>
        <v>20.625</v>
      </c>
      <c r="I19" s="1">
        <f t="shared" si="0"/>
        <v>4.3656249999999996</v>
      </c>
      <c r="J19" s="1">
        <f t="shared" si="1"/>
        <v>-4.3656249999999996</v>
      </c>
      <c r="L19" s="72"/>
      <c r="M19" s="72"/>
      <c r="N19" s="310"/>
      <c r="O19" s="82"/>
      <c r="P19" s="72"/>
      <c r="Q19" s="72"/>
      <c r="R19" s="72"/>
      <c r="S19" s="83"/>
      <c r="T19" s="1">
        <f t="shared" si="5"/>
        <v>20.625</v>
      </c>
      <c r="U19" s="1">
        <f t="shared" si="2"/>
        <v>5.7540762469702145</v>
      </c>
      <c r="V19" s="1">
        <f t="shared" si="3"/>
        <v>-5.7540762469702145</v>
      </c>
    </row>
    <row r="20" spans="2:22">
      <c r="B20" s="310"/>
      <c r="C20" s="82"/>
      <c r="D20" s="72"/>
      <c r="E20" s="72"/>
      <c r="F20" s="72"/>
      <c r="G20" s="83"/>
      <c r="H20" s="1">
        <f t="shared" si="4"/>
        <v>24.375</v>
      </c>
      <c r="I20" s="1">
        <f t="shared" si="0"/>
        <v>5.1593749999999998</v>
      </c>
      <c r="J20" s="1">
        <f t="shared" si="1"/>
        <v>-5.1593749999999998</v>
      </c>
      <c r="L20" s="72"/>
      <c r="M20" s="72"/>
      <c r="N20" s="310"/>
      <c r="O20" s="82"/>
      <c r="P20" s="72"/>
      <c r="Q20" s="72"/>
      <c r="R20" s="72"/>
      <c r="S20" s="83"/>
      <c r="T20" s="1">
        <f t="shared" si="5"/>
        <v>24.375</v>
      </c>
      <c r="U20" s="1">
        <f t="shared" si="2"/>
        <v>6.1360215886791423</v>
      </c>
      <c r="V20" s="1">
        <f t="shared" si="3"/>
        <v>-6.1360215886791423</v>
      </c>
    </row>
    <row r="21" spans="2:22">
      <c r="B21" s="310"/>
      <c r="C21" s="82"/>
      <c r="D21" s="72"/>
      <c r="E21" s="72"/>
      <c r="F21" s="72"/>
      <c r="G21" s="83"/>
      <c r="H21" s="1">
        <f t="shared" si="4"/>
        <v>28.125</v>
      </c>
      <c r="I21" s="1">
        <f t="shared" si="0"/>
        <v>5.953125</v>
      </c>
      <c r="J21" s="1">
        <f t="shared" si="1"/>
        <v>-5.953125</v>
      </c>
      <c r="L21" s="72"/>
      <c r="M21" s="72"/>
      <c r="N21" s="310"/>
      <c r="O21" s="82"/>
      <c r="P21" s="72"/>
      <c r="Q21" s="72"/>
      <c r="R21" s="72"/>
      <c r="S21" s="83"/>
      <c r="T21" s="1">
        <f t="shared" si="5"/>
        <v>28.125</v>
      </c>
      <c r="U21" s="1">
        <f t="shared" si="2"/>
        <v>6.3262551688511195</v>
      </c>
      <c r="V21" s="1">
        <f t="shared" si="3"/>
        <v>-6.3262551688511195</v>
      </c>
    </row>
    <row r="22" spans="2:22" ht="15" thickBot="1">
      <c r="B22" s="310"/>
      <c r="C22" s="82"/>
      <c r="D22" s="72"/>
      <c r="E22" s="72"/>
      <c r="F22" s="72"/>
      <c r="G22" s="83"/>
      <c r="H22" s="1">
        <f>D26</f>
        <v>30</v>
      </c>
      <c r="I22" s="1">
        <f t="shared" si="0"/>
        <v>6.35</v>
      </c>
      <c r="J22" s="1">
        <f t="shared" si="1"/>
        <v>-6.35</v>
      </c>
      <c r="L22" s="72"/>
      <c r="M22" s="72"/>
      <c r="N22" s="314"/>
      <c r="O22" s="82"/>
      <c r="P22" s="72"/>
      <c r="Q22" s="72"/>
      <c r="R22" s="72"/>
      <c r="S22" s="83"/>
      <c r="T22" s="1">
        <f>P26</f>
        <v>30</v>
      </c>
      <c r="U22" s="1">
        <f t="shared" si="2"/>
        <v>6.3499999999999943</v>
      </c>
      <c r="V22" s="1">
        <f t="shared" si="3"/>
        <v>-6.3499999999999943</v>
      </c>
    </row>
    <row r="23" spans="2:22" ht="14.45" customHeight="1">
      <c r="B23" s="318" t="s">
        <v>198</v>
      </c>
      <c r="C23" s="74"/>
      <c r="D23" s="73" t="s">
        <v>193</v>
      </c>
      <c r="E23" s="73"/>
      <c r="F23" s="73"/>
      <c r="G23" s="73"/>
      <c r="K23" s="316"/>
      <c r="N23" s="317" t="s">
        <v>198</v>
      </c>
      <c r="O23" s="74" t="s">
        <v>199</v>
      </c>
      <c r="P23" s="73">
        <f>((P25/2)^2+P26^2)/(2*(P25/2))</f>
        <v>74.041141732283464</v>
      </c>
      <c r="Q23" s="73"/>
      <c r="R23" s="73"/>
      <c r="S23" s="73"/>
    </row>
    <row r="24" spans="2:22">
      <c r="B24" s="318"/>
      <c r="C24" s="75" t="s">
        <v>200</v>
      </c>
      <c r="D24" s="1">
        <f>(F25/2)/(F26)</f>
        <v>0.21166666666666667</v>
      </c>
      <c r="K24" s="316"/>
      <c r="N24" s="318"/>
      <c r="O24" s="75" t="s">
        <v>200</v>
      </c>
      <c r="P24" s="1" t="s">
        <v>201</v>
      </c>
    </row>
    <row r="25" spans="2:22">
      <c r="B25" s="318"/>
      <c r="C25" s="75" t="s">
        <v>202</v>
      </c>
      <c r="D25" s="1">
        <f>DiameterRocket</f>
        <v>12.7</v>
      </c>
      <c r="E25" s="1" t="s">
        <v>203</v>
      </c>
      <c r="F25" s="1">
        <f>D25/100</f>
        <v>0.127</v>
      </c>
      <c r="G25" s="1" t="s">
        <v>204</v>
      </c>
      <c r="K25" s="316"/>
      <c r="N25" s="318"/>
      <c r="O25" s="75" t="s">
        <v>202</v>
      </c>
      <c r="P25" s="1">
        <f>DiameterRocket</f>
        <v>12.7</v>
      </c>
      <c r="Q25" s="1" t="s">
        <v>203</v>
      </c>
      <c r="R25" s="1">
        <f>P25/100</f>
        <v>0.127</v>
      </c>
      <c r="S25" s="1" t="s">
        <v>204</v>
      </c>
    </row>
    <row r="26" spans="2:22" ht="14.45" customHeight="1">
      <c r="B26" s="318"/>
      <c r="C26" s="76" t="s">
        <v>205</v>
      </c>
      <c r="D26" s="77">
        <v>30</v>
      </c>
      <c r="E26" s="77" t="s">
        <v>203</v>
      </c>
      <c r="F26" s="77">
        <f>D26/100</f>
        <v>0.3</v>
      </c>
      <c r="G26" s="77" t="s">
        <v>204</v>
      </c>
      <c r="K26" s="316"/>
      <c r="N26" s="318"/>
      <c r="O26" s="76" t="s">
        <v>205</v>
      </c>
      <c r="P26" s="77">
        <v>30</v>
      </c>
      <c r="Q26" s="77" t="s">
        <v>203</v>
      </c>
      <c r="R26" s="77">
        <f>P26/100</f>
        <v>0.3</v>
      </c>
      <c r="S26" s="77" t="s">
        <v>204</v>
      </c>
    </row>
    <row r="27" spans="2:22" ht="29.45" customHeight="1">
      <c r="B27" s="2" t="s">
        <v>206</v>
      </c>
      <c r="C27" s="319" t="s">
        <v>207</v>
      </c>
      <c r="D27" s="319"/>
      <c r="E27" s="319"/>
      <c r="F27" s="319"/>
      <c r="G27" s="319"/>
      <c r="L27" s="72"/>
      <c r="M27" s="72"/>
      <c r="N27" s="2" t="s">
        <v>206</v>
      </c>
      <c r="O27" s="319" t="s">
        <v>207</v>
      </c>
      <c r="P27" s="319"/>
      <c r="Q27" s="319"/>
      <c r="R27" s="319"/>
      <c r="S27" s="319"/>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09" t="s">
        <v>210</v>
      </c>
      <c r="C31" s="307"/>
      <c r="D31" s="320"/>
      <c r="E31" s="320"/>
      <c r="F31" s="320"/>
      <c r="G31" s="308"/>
      <c r="H31" s="1">
        <f>H22</f>
        <v>30</v>
      </c>
      <c r="I31" s="1">
        <f>$D$42/2</f>
        <v>6.35</v>
      </c>
      <c r="J31" s="1">
        <f>I31*-1</f>
        <v>-6.35</v>
      </c>
    </row>
    <row r="32" spans="2:22">
      <c r="B32" s="310"/>
      <c r="C32" s="321"/>
      <c r="D32" s="315"/>
      <c r="E32" s="315"/>
      <c r="F32" s="315"/>
      <c r="G32" s="322"/>
      <c r="H32" s="12">
        <f>(D43/8/2)+H31</f>
        <v>36.25</v>
      </c>
      <c r="I32" s="1">
        <f t="shared" ref="I32:I40" si="6">$D$42/2</f>
        <v>6.35</v>
      </c>
      <c r="J32" s="1">
        <f t="shared" ref="J32:J40" si="7">I32*-1</f>
        <v>-6.35</v>
      </c>
    </row>
    <row r="33" spans="2:24">
      <c r="B33" s="310"/>
      <c r="C33" s="321"/>
      <c r="D33" s="315"/>
      <c r="E33" s="315"/>
      <c r="F33" s="315"/>
      <c r="G33" s="322"/>
      <c r="H33" s="12">
        <f>($D$43/8/2)*2+(H32)</f>
        <v>48.75</v>
      </c>
      <c r="I33" s="1">
        <f t="shared" si="6"/>
        <v>6.35</v>
      </c>
      <c r="J33" s="1">
        <f t="shared" si="7"/>
        <v>-6.35</v>
      </c>
    </row>
    <row r="34" spans="2:24">
      <c r="B34" s="310"/>
      <c r="C34" s="321"/>
      <c r="D34" s="315"/>
      <c r="E34" s="315"/>
      <c r="F34" s="315"/>
      <c r="G34" s="322"/>
      <c r="H34" s="12">
        <f t="shared" ref="H34:H39" si="8">($D$43/8/2)*2+(H33)</f>
        <v>61.25</v>
      </c>
      <c r="I34" s="1">
        <f t="shared" si="6"/>
        <v>6.35</v>
      </c>
      <c r="J34" s="1">
        <f t="shared" si="7"/>
        <v>-6.35</v>
      </c>
    </row>
    <row r="35" spans="2:24">
      <c r="B35" s="310"/>
      <c r="C35" s="321"/>
      <c r="D35" s="315"/>
      <c r="E35" s="315"/>
      <c r="F35" s="315"/>
      <c r="G35" s="322"/>
      <c r="H35" s="12">
        <f t="shared" si="8"/>
        <v>73.75</v>
      </c>
      <c r="I35" s="1">
        <f t="shared" si="6"/>
        <v>6.35</v>
      </c>
      <c r="J35" s="1">
        <f t="shared" si="7"/>
        <v>-6.35</v>
      </c>
    </row>
    <row r="36" spans="2:24">
      <c r="B36" s="310"/>
      <c r="C36" s="321"/>
      <c r="D36" s="315"/>
      <c r="E36" s="315"/>
      <c r="F36" s="315"/>
      <c r="G36" s="322"/>
      <c r="H36" s="12">
        <f t="shared" si="8"/>
        <v>86.25</v>
      </c>
      <c r="I36" s="1">
        <f t="shared" si="6"/>
        <v>6.35</v>
      </c>
      <c r="J36" s="1">
        <f t="shared" si="7"/>
        <v>-6.35</v>
      </c>
    </row>
    <row r="37" spans="2:24">
      <c r="B37" s="310"/>
      <c r="C37" s="321"/>
      <c r="D37" s="315"/>
      <c r="E37" s="315"/>
      <c r="F37" s="315"/>
      <c r="G37" s="322"/>
      <c r="H37" s="12">
        <f t="shared" si="8"/>
        <v>98.75</v>
      </c>
      <c r="I37" s="1">
        <f t="shared" si="6"/>
        <v>6.35</v>
      </c>
      <c r="J37" s="1">
        <f t="shared" si="7"/>
        <v>-6.35</v>
      </c>
    </row>
    <row r="38" spans="2:24">
      <c r="B38" s="310"/>
      <c r="C38" s="321"/>
      <c r="D38" s="315"/>
      <c r="E38" s="315"/>
      <c r="F38" s="315"/>
      <c r="G38" s="322"/>
      <c r="H38" s="12">
        <f t="shared" si="8"/>
        <v>111.25</v>
      </c>
      <c r="I38" s="1">
        <f t="shared" si="6"/>
        <v>6.35</v>
      </c>
      <c r="J38" s="1">
        <f t="shared" si="7"/>
        <v>-6.35</v>
      </c>
    </row>
    <row r="39" spans="2:24" ht="14.45" customHeight="1">
      <c r="B39" s="310"/>
      <c r="C39" s="321"/>
      <c r="D39" s="315"/>
      <c r="E39" s="315"/>
      <c r="F39" s="315"/>
      <c r="G39" s="322"/>
      <c r="H39" s="12">
        <f t="shared" si="8"/>
        <v>123.75</v>
      </c>
      <c r="I39" s="1">
        <f t="shared" si="6"/>
        <v>6.35</v>
      </c>
      <c r="J39" s="1">
        <f t="shared" si="7"/>
        <v>-6.35</v>
      </c>
    </row>
    <row r="40" spans="2:24" ht="15" thickBot="1">
      <c r="B40" s="314"/>
      <c r="C40" s="323"/>
      <c r="D40" s="324"/>
      <c r="E40" s="324"/>
      <c r="F40" s="324"/>
      <c r="G40" s="325"/>
      <c r="H40" s="12">
        <f>D43+H22</f>
        <v>130</v>
      </c>
      <c r="I40" s="1">
        <f t="shared" si="6"/>
        <v>6.35</v>
      </c>
      <c r="J40" s="1">
        <f t="shared" si="7"/>
        <v>-6.35</v>
      </c>
    </row>
    <row r="41" spans="2:24" ht="28.5">
      <c r="B41" s="319" t="s">
        <v>198</v>
      </c>
      <c r="C41" s="1" t="s">
        <v>211</v>
      </c>
      <c r="H41" s="12"/>
    </row>
    <row r="42" spans="2:24">
      <c r="B42" s="315"/>
      <c r="C42" s="1" t="s">
        <v>202</v>
      </c>
      <c r="D42" s="1">
        <f>DiameterRocket</f>
        <v>12.7</v>
      </c>
      <c r="E42" s="1" t="s">
        <v>203</v>
      </c>
      <c r="F42" s="1">
        <f>D42/100</f>
        <v>0.127</v>
      </c>
      <c r="G42" s="1" t="s">
        <v>204</v>
      </c>
      <c r="H42" s="12"/>
    </row>
    <row r="43" spans="2:24" ht="28.9" customHeight="1">
      <c r="B43" s="315"/>
      <c r="C43" s="1" t="s">
        <v>212</v>
      </c>
      <c r="D43" s="1">
        <v>100</v>
      </c>
      <c r="E43" s="1" t="s">
        <v>203</v>
      </c>
      <c r="F43" s="1">
        <f>D43/100</f>
        <v>1</v>
      </c>
      <c r="G43" s="1" t="s">
        <v>204</v>
      </c>
    </row>
    <row r="44" spans="2:24">
      <c r="B44" s="2" t="s">
        <v>206</v>
      </c>
      <c r="C44" s="315" t="s">
        <v>213</v>
      </c>
      <c r="D44" s="315"/>
      <c r="E44" s="315"/>
      <c r="F44" s="315"/>
      <c r="G44" s="315"/>
    </row>
    <row r="45" spans="2:24">
      <c r="B45" s="315" t="s">
        <v>208</v>
      </c>
    </row>
    <row r="46" spans="2:24">
      <c r="B46" s="315"/>
    </row>
    <row r="47" spans="2:24" ht="15" thickBot="1">
      <c r="B47" s="315"/>
    </row>
    <row r="48" spans="2:24" ht="15" customHeight="1" thickBot="1">
      <c r="K48" s="326" t="s">
        <v>214</v>
      </c>
      <c r="L48" s="328"/>
      <c r="W48" s="316" t="s">
        <v>214</v>
      </c>
      <c r="X48" s="316"/>
    </row>
    <row r="49" spans="2:24" ht="15" thickBot="1">
      <c r="B49" s="8" t="s">
        <v>191</v>
      </c>
      <c r="C49" s="326" t="s">
        <v>215</v>
      </c>
      <c r="D49" s="327"/>
      <c r="E49" s="327"/>
      <c r="F49" s="327"/>
      <c r="G49" s="328"/>
      <c r="H49" s="51" t="s">
        <v>193</v>
      </c>
      <c r="I49" s="52" t="s">
        <v>216</v>
      </c>
      <c r="J49" s="53" t="s">
        <v>217</v>
      </c>
      <c r="K49" s="51" t="s">
        <v>218</v>
      </c>
      <c r="L49" s="53" t="s">
        <v>216</v>
      </c>
      <c r="N49" s="8" t="s">
        <v>191</v>
      </c>
      <c r="O49" s="326" t="s">
        <v>219</v>
      </c>
      <c r="P49" s="327"/>
      <c r="Q49" s="327"/>
      <c r="R49" s="327"/>
      <c r="S49" s="328"/>
      <c r="T49" s="1" t="s">
        <v>193</v>
      </c>
      <c r="U49" s="1" t="s">
        <v>216</v>
      </c>
      <c r="V49" s="1" t="s">
        <v>217</v>
      </c>
      <c r="W49" s="1" t="s">
        <v>216</v>
      </c>
      <c r="X49" s="1" t="s">
        <v>220</v>
      </c>
    </row>
    <row r="50" spans="2:24">
      <c r="B50" s="309" t="s">
        <v>221</v>
      </c>
      <c r="C50" s="307"/>
      <c r="D50" s="320"/>
      <c r="E50" s="320"/>
      <c r="F50" s="320"/>
      <c r="G50" s="308"/>
      <c r="H50" s="94">
        <f>($H$40-D68-D65)</f>
        <v>110</v>
      </c>
      <c r="I50" s="95">
        <f t="shared" ref="I50:I58" si="9">IF(((($D$67)/($D$65-$D$64))*(H50-$H$50)+$I$40)&gt;($D$67+$I$40),($D$67+$I$40),(($D$67)/($D$65-$D$64))*(H50-$H$50)+$I$40)</f>
        <v>6.35</v>
      </c>
      <c r="J50" s="96">
        <f>I50*-1</f>
        <v>-6.35</v>
      </c>
      <c r="K50" s="100">
        <f>D61/D60</f>
        <v>84.59999999999998</v>
      </c>
      <c r="L50" s="101">
        <f>0</f>
        <v>0</v>
      </c>
      <c r="N50" s="309" t="s">
        <v>221</v>
      </c>
      <c r="O50" s="307"/>
      <c r="P50" s="320"/>
      <c r="Q50" s="320"/>
      <c r="R50" s="320"/>
      <c r="S50" s="308"/>
      <c r="T50" s="12">
        <f>($H$40-P68-P65)</f>
        <v>110</v>
      </c>
      <c r="U50" s="1">
        <f t="shared" ref="U50:U58" si="10">IF(((($D$67)/($D$65-$D$64))*(T50-$H$50)+$I$40)&gt;($D$67+$I$40),($D$67+$I$40),(($D$67)/($D$65-$D$64))*(T50-$H$50)+$I$40)</f>
        <v>6.35</v>
      </c>
      <c r="V50" s="12">
        <f>U50*-1</f>
        <v>-6.35</v>
      </c>
      <c r="W50" s="1">
        <f>0</f>
        <v>0</v>
      </c>
    </row>
    <row r="51" spans="2:24">
      <c r="B51" s="310"/>
      <c r="C51" s="321"/>
      <c r="D51" s="315"/>
      <c r="E51" s="315"/>
      <c r="F51" s="315"/>
      <c r="G51" s="322"/>
      <c r="H51" s="94">
        <f>(H58-H50)/8/2+H50</f>
        <v>110.9375</v>
      </c>
      <c r="I51" s="95">
        <f t="shared" si="9"/>
        <v>10.1</v>
      </c>
      <c r="J51" s="96">
        <f t="shared" ref="J51:J57" si="11">I51*-1</f>
        <v>-10.1</v>
      </c>
      <c r="K51" s="100">
        <f>H50</f>
        <v>110</v>
      </c>
      <c r="L51" s="101">
        <v>3</v>
      </c>
      <c r="N51" s="310"/>
      <c r="O51" s="321"/>
      <c r="P51" s="315"/>
      <c r="Q51" s="315"/>
      <c r="R51" s="315"/>
      <c r="S51" s="322"/>
      <c r="T51" s="1">
        <f>(T58-T50)/8/2+T50</f>
        <v>110.9375</v>
      </c>
      <c r="U51" s="1">
        <f t="shared" si="10"/>
        <v>10.1</v>
      </c>
      <c r="V51" s="12">
        <f t="shared" ref="V51:V57" si="12">U51*-1</f>
        <v>-10.1</v>
      </c>
      <c r="W51" s="1">
        <v>3</v>
      </c>
      <c r="X51" s="1">
        <v>-3</v>
      </c>
    </row>
    <row r="52" spans="2:24">
      <c r="B52" s="310"/>
      <c r="C52" s="321"/>
      <c r="D52" s="315"/>
      <c r="E52" s="315"/>
      <c r="F52" s="315"/>
      <c r="G52" s="322"/>
      <c r="H52" s="94">
        <f t="shared" ref="H52:H57" si="13">($H$58-$H$50)/8+H51</f>
        <v>112.8125</v>
      </c>
      <c r="I52" s="95">
        <f t="shared" si="9"/>
        <v>17.600000000000001</v>
      </c>
      <c r="J52" s="96">
        <f t="shared" si="11"/>
        <v>-17.600000000000001</v>
      </c>
      <c r="K52" s="94">
        <f>H51</f>
        <v>110.9375</v>
      </c>
      <c r="L52" s="96">
        <f>I51</f>
        <v>10.1</v>
      </c>
      <c r="N52" s="310"/>
      <c r="O52" s="321"/>
      <c r="P52" s="315"/>
      <c r="Q52" s="315"/>
      <c r="R52" s="315"/>
      <c r="S52" s="322"/>
      <c r="T52" s="1">
        <f t="shared" ref="T52:T57" si="14">($H$58-$H$50)/8+T51</f>
        <v>112.8125</v>
      </c>
      <c r="U52" s="1">
        <f t="shared" si="10"/>
        <v>17.600000000000001</v>
      </c>
      <c r="V52" s="12">
        <f t="shared" si="12"/>
        <v>-17.600000000000001</v>
      </c>
      <c r="W52" s="1">
        <v>3.46875</v>
      </c>
      <c r="X52" s="1">
        <v>-3.46875</v>
      </c>
    </row>
    <row r="53" spans="2:24">
      <c r="B53" s="310"/>
      <c r="C53" s="321"/>
      <c r="D53" s="315"/>
      <c r="E53" s="315"/>
      <c r="F53" s="315"/>
      <c r="G53" s="322"/>
      <c r="H53" s="94">
        <f t="shared" si="13"/>
        <v>114.6875</v>
      </c>
      <c r="I53" s="95">
        <f t="shared" si="9"/>
        <v>25.1</v>
      </c>
      <c r="J53" s="96">
        <f t="shared" si="11"/>
        <v>-25.1</v>
      </c>
      <c r="K53" s="94">
        <f t="shared" ref="K53:K57" si="15">H52</f>
        <v>112.8125</v>
      </c>
      <c r="L53" s="96">
        <f t="shared" ref="L53:L57" si="16">I52</f>
        <v>17.600000000000001</v>
      </c>
      <c r="N53" s="310"/>
      <c r="O53" s="321"/>
      <c r="P53" s="315"/>
      <c r="Q53" s="315"/>
      <c r="R53" s="315"/>
      <c r="S53" s="322"/>
      <c r="T53" s="1">
        <f t="shared" si="14"/>
        <v>114.6875</v>
      </c>
      <c r="U53" s="1">
        <f t="shared" si="10"/>
        <v>25.1</v>
      </c>
      <c r="V53" s="12">
        <f t="shared" si="12"/>
        <v>-25.1</v>
      </c>
      <c r="W53" s="1">
        <v>4.40625</v>
      </c>
      <c r="X53" s="1">
        <v>-4.40625</v>
      </c>
    </row>
    <row r="54" spans="2:24">
      <c r="B54" s="310"/>
      <c r="C54" s="321"/>
      <c r="D54" s="315"/>
      <c r="E54" s="315"/>
      <c r="F54" s="315"/>
      <c r="G54" s="322"/>
      <c r="H54" s="94">
        <f t="shared" si="13"/>
        <v>116.5625</v>
      </c>
      <c r="I54" s="95">
        <f t="shared" si="9"/>
        <v>26.35</v>
      </c>
      <c r="J54" s="96">
        <f t="shared" si="11"/>
        <v>-26.35</v>
      </c>
      <c r="K54" s="94">
        <f t="shared" si="15"/>
        <v>114.6875</v>
      </c>
      <c r="L54" s="96">
        <f t="shared" si="16"/>
        <v>25.1</v>
      </c>
      <c r="N54" s="310"/>
      <c r="O54" s="321"/>
      <c r="P54" s="315"/>
      <c r="Q54" s="315"/>
      <c r="R54" s="315"/>
      <c r="S54" s="322"/>
      <c r="T54" s="1">
        <f t="shared" si="14"/>
        <v>116.5625</v>
      </c>
      <c r="U54" s="1">
        <f t="shared" si="10"/>
        <v>26.35</v>
      </c>
      <c r="V54" s="12">
        <f t="shared" si="12"/>
        <v>-26.35</v>
      </c>
      <c r="W54" s="1">
        <v>5.34375</v>
      </c>
      <c r="X54" s="1">
        <v>-5.34375</v>
      </c>
    </row>
    <row r="55" spans="2:24">
      <c r="B55" s="310"/>
      <c r="C55" s="321"/>
      <c r="D55" s="315"/>
      <c r="E55" s="315"/>
      <c r="F55" s="315"/>
      <c r="G55" s="322"/>
      <c r="H55" s="94">
        <f t="shared" si="13"/>
        <v>118.4375</v>
      </c>
      <c r="I55" s="95">
        <f t="shared" si="9"/>
        <v>26.35</v>
      </c>
      <c r="J55" s="96">
        <f t="shared" si="11"/>
        <v>-26.35</v>
      </c>
      <c r="K55" s="94">
        <f t="shared" si="15"/>
        <v>116.5625</v>
      </c>
      <c r="L55" s="96">
        <f t="shared" si="16"/>
        <v>26.35</v>
      </c>
      <c r="N55" s="310"/>
      <c r="O55" s="321"/>
      <c r="P55" s="315"/>
      <c r="Q55" s="315"/>
      <c r="R55" s="315"/>
      <c r="S55" s="322"/>
      <c r="T55" s="1">
        <f t="shared" si="14"/>
        <v>118.4375</v>
      </c>
      <c r="U55" s="1">
        <f t="shared" si="10"/>
        <v>26.35</v>
      </c>
      <c r="V55" s="12">
        <f t="shared" si="12"/>
        <v>-26.35</v>
      </c>
      <c r="W55" s="1">
        <v>6.28125</v>
      </c>
      <c r="X55" s="1">
        <v>-6.28125</v>
      </c>
    </row>
    <row r="56" spans="2:24">
      <c r="B56" s="310"/>
      <c r="C56" s="321"/>
      <c r="D56" s="315"/>
      <c r="E56" s="315"/>
      <c r="F56" s="315"/>
      <c r="G56" s="322"/>
      <c r="H56" s="94">
        <f t="shared" si="13"/>
        <v>120.3125</v>
      </c>
      <c r="I56" s="95">
        <f t="shared" si="9"/>
        <v>26.35</v>
      </c>
      <c r="J56" s="96">
        <f t="shared" si="11"/>
        <v>-26.35</v>
      </c>
      <c r="K56" s="94">
        <f t="shared" si="15"/>
        <v>118.4375</v>
      </c>
      <c r="L56" s="96">
        <f t="shared" si="16"/>
        <v>26.35</v>
      </c>
      <c r="N56" s="310"/>
      <c r="O56" s="321"/>
      <c r="P56" s="315"/>
      <c r="Q56" s="315"/>
      <c r="R56" s="315"/>
      <c r="S56" s="322"/>
      <c r="T56" s="1">
        <f t="shared" si="14"/>
        <v>120.3125</v>
      </c>
      <c r="U56" s="1">
        <f t="shared" si="10"/>
        <v>26.35</v>
      </c>
      <c r="V56" s="12">
        <f t="shared" si="12"/>
        <v>-26.35</v>
      </c>
      <c r="W56" s="1">
        <v>7.21875</v>
      </c>
      <c r="X56" s="1">
        <v>-7.21875</v>
      </c>
    </row>
    <row r="57" spans="2:24">
      <c r="B57" s="310"/>
      <c r="C57" s="321"/>
      <c r="D57" s="315"/>
      <c r="E57" s="315"/>
      <c r="F57" s="315"/>
      <c r="G57" s="322"/>
      <c r="H57" s="94">
        <f t="shared" si="13"/>
        <v>122.1875</v>
      </c>
      <c r="I57" s="95">
        <f t="shared" si="9"/>
        <v>26.35</v>
      </c>
      <c r="J57" s="96">
        <f t="shared" si="11"/>
        <v>-26.35</v>
      </c>
      <c r="K57" s="94">
        <f t="shared" si="15"/>
        <v>120.3125</v>
      </c>
      <c r="L57" s="96">
        <f t="shared" si="16"/>
        <v>26.35</v>
      </c>
      <c r="N57" s="310"/>
      <c r="O57" s="321"/>
      <c r="P57" s="315"/>
      <c r="Q57" s="315"/>
      <c r="R57" s="315"/>
      <c r="S57" s="322"/>
      <c r="T57" s="1">
        <f t="shared" si="14"/>
        <v>122.1875</v>
      </c>
      <c r="U57" s="1">
        <f t="shared" si="10"/>
        <v>26.35</v>
      </c>
      <c r="V57" s="12">
        <f t="shared" si="12"/>
        <v>-26.35</v>
      </c>
      <c r="W57" s="1">
        <v>8</v>
      </c>
      <c r="X57" s="1">
        <v>-8</v>
      </c>
    </row>
    <row r="58" spans="2:24">
      <c r="B58" s="310"/>
      <c r="C58" s="321"/>
      <c r="D58" s="315"/>
      <c r="E58" s="315"/>
      <c r="F58" s="315"/>
      <c r="G58" s="322"/>
      <c r="H58" s="94">
        <f>$H$50+D65</f>
        <v>125</v>
      </c>
      <c r="I58" s="95">
        <f t="shared" si="9"/>
        <v>26.35</v>
      </c>
      <c r="J58" s="96">
        <f>I58*-1</f>
        <v>-26.35</v>
      </c>
      <c r="K58" s="94">
        <f>H58</f>
        <v>125</v>
      </c>
      <c r="L58" s="96">
        <f>IF(((($D$67)/($D$65-$D$64))*(K58-$H$50)+$I$40)&gt;($D$67+$I$40),($D$67+$I$40),(($D$67)/($D$65-$D$64))*(K58-$H$50)+$I$40)</f>
        <v>26.35</v>
      </c>
      <c r="N58" s="310"/>
      <c r="O58" s="321"/>
      <c r="P58" s="315"/>
      <c r="Q58" s="315"/>
      <c r="R58" s="315"/>
      <c r="S58" s="322"/>
      <c r="T58" s="12">
        <f>$H$50+P65</f>
        <v>125</v>
      </c>
      <c r="U58" s="1">
        <f t="shared" si="10"/>
        <v>26.35</v>
      </c>
      <c r="V58" s="12">
        <f>U58*-1</f>
        <v>-26.35</v>
      </c>
      <c r="W58" s="1">
        <v>8</v>
      </c>
      <c r="X58" s="1">
        <v>-8</v>
      </c>
    </row>
    <row r="59" spans="2:24" ht="15" customHeight="1" thickBot="1">
      <c r="B59" s="314"/>
      <c r="C59" s="329"/>
      <c r="D59" s="330"/>
      <c r="E59" s="330"/>
      <c r="F59" s="330"/>
      <c r="G59" s="331"/>
      <c r="H59" s="97">
        <f>H58</f>
        <v>125</v>
      </c>
      <c r="I59" s="98">
        <f>IF(((($D$67)/($D$65-$D$64))*(H59-$H$50)+$I$40)&gt;($D$67+$I$40),($D$67+$I$40),(($D$67)/($D$65-$D$64))*(H59-$H$50)+$I$40)-IF(((($D$67)/($D$65-$D$64))*(H59-$H$50)+$I$40)&gt;($D$67+$I$40),($D$67+$I$40),(($D$67)/($D$65-$D$64))*(H59-$H$50)+$I$40)+$I$40</f>
        <v>6.35</v>
      </c>
      <c r="J59" s="99">
        <f>I59*-1</f>
        <v>-6.35</v>
      </c>
      <c r="K59" s="100">
        <f>K58</f>
        <v>125</v>
      </c>
      <c r="L59" s="101">
        <f>L50</f>
        <v>0</v>
      </c>
      <c r="N59" s="314"/>
      <c r="O59" s="323"/>
      <c r="P59" s="324"/>
      <c r="Q59" s="324"/>
      <c r="R59" s="324"/>
      <c r="S59" s="325"/>
      <c r="T59" s="12">
        <f>T58</f>
        <v>125</v>
      </c>
      <c r="U59" s="1">
        <f>IF(((($D$67)/($D$65-$D$64))*(T59-$H$50)+$I$40)&gt;($D$67+$I$40),($D$67+$I$40),(($D$67)/($D$65-$D$64))*(T59-$H$50)+$I$40)-IF(((($D$67)/($D$65-$D$64))*(T59-$H$50)+$I$40)&gt;($D$67+$I$40),($D$67+$I$40),(($D$67)/($D$65-$D$64))*(T59-$H$50)+$I$40)+$I$40</f>
        <v>6.35</v>
      </c>
      <c r="V59" s="12">
        <f>U59*-1</f>
        <v>-6.35</v>
      </c>
    </row>
    <row r="60" spans="2:24" ht="16.149999999999999" customHeight="1">
      <c r="B60" s="332" t="s">
        <v>198</v>
      </c>
      <c r="C60" s="90" t="s">
        <v>222</v>
      </c>
      <c r="D60" s="54">
        <f>TAN(RADIANS(F60))</f>
        <v>0.24999999999999981</v>
      </c>
      <c r="E60" s="84" t="s">
        <v>223</v>
      </c>
      <c r="F60" s="56">
        <f>90-DEGREES(ATAN(D67/(D65-D64)))</f>
        <v>14.036243467926468</v>
      </c>
      <c r="G60" s="57" t="s">
        <v>224</v>
      </c>
      <c r="H60" s="337" t="s">
        <v>225</v>
      </c>
      <c r="I60" s="338"/>
      <c r="J60" s="339"/>
      <c r="K60" s="90" t="s">
        <v>226</v>
      </c>
      <c r="L60" s="57">
        <f>K67^2/K68</f>
        <v>1.0456349206349203</v>
      </c>
      <c r="N60" s="319" t="s">
        <v>198</v>
      </c>
      <c r="O60" s="1" t="s">
        <v>227</v>
      </c>
    </row>
    <row r="61" spans="2:24" ht="16.149999999999999" customHeight="1" thickBot="1">
      <c r="B61" s="333"/>
      <c r="C61" s="89" t="s">
        <v>228</v>
      </c>
      <c r="D61" s="91">
        <f>-I50+D60*H50</f>
        <v>21.149999999999977</v>
      </c>
      <c r="E61" s="86"/>
      <c r="F61" s="61"/>
      <c r="G61" s="62"/>
      <c r="H61" s="340"/>
      <c r="I61" s="341"/>
      <c r="J61" s="342"/>
      <c r="K61" s="89"/>
      <c r="L61" s="62"/>
      <c r="N61" s="319"/>
    </row>
    <row r="62" spans="2:24" ht="27.6" customHeight="1">
      <c r="B62" s="333"/>
      <c r="C62" s="88" t="s">
        <v>229</v>
      </c>
      <c r="D62" s="221">
        <f>(D63/1000)*(I63/100)</f>
        <v>2.9999999999999997E-4</v>
      </c>
      <c r="E62" s="1" t="s">
        <v>230</v>
      </c>
      <c r="H62" s="92" t="s">
        <v>231</v>
      </c>
      <c r="I62" s="1" t="s">
        <v>232</v>
      </c>
      <c r="L62" s="59"/>
      <c r="N62" s="319"/>
    </row>
    <row r="63" spans="2:24" ht="27.6" customHeight="1">
      <c r="B63" s="333"/>
      <c r="C63" s="88" t="s">
        <v>233</v>
      </c>
      <c r="D63" s="87">
        <v>2</v>
      </c>
      <c r="E63" s="1" t="s">
        <v>234</v>
      </c>
      <c r="H63" s="85" t="s">
        <v>235</v>
      </c>
      <c r="I63" s="1">
        <v>15</v>
      </c>
      <c r="L63" s="59"/>
      <c r="N63" s="319"/>
    </row>
    <row r="64" spans="2:24">
      <c r="B64" s="334"/>
      <c r="C64" s="85" t="s">
        <v>236</v>
      </c>
      <c r="D64" s="58">
        <f>C6</f>
        <v>10</v>
      </c>
      <c r="E64" s="1" t="s">
        <v>203</v>
      </c>
      <c r="F64" s="1">
        <f>D64/100</f>
        <v>0.1</v>
      </c>
      <c r="G64" s="1" t="s">
        <v>204</v>
      </c>
      <c r="H64" s="85" t="s">
        <v>236</v>
      </c>
      <c r="I64" s="1">
        <f>D64</f>
        <v>10</v>
      </c>
      <c r="J64" s="1" t="s">
        <v>203</v>
      </c>
      <c r="K64" s="1">
        <f>I64/100</f>
        <v>0.1</v>
      </c>
      <c r="L64" s="59" t="s">
        <v>204</v>
      </c>
      <c r="N64" s="319"/>
      <c r="O64" s="1" t="s">
        <v>236</v>
      </c>
      <c r="P64" s="1">
        <f>C6</f>
        <v>10</v>
      </c>
      <c r="Q64" s="1" t="s">
        <v>203</v>
      </c>
      <c r="R64" s="1">
        <f>P64/100</f>
        <v>0.1</v>
      </c>
      <c r="S64" s="1" t="s">
        <v>204</v>
      </c>
    </row>
    <row r="65" spans="2:19">
      <c r="B65" s="335"/>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15"/>
      <c r="O65" s="1" t="s">
        <v>237</v>
      </c>
      <c r="P65" s="1">
        <f>C5</f>
        <v>15</v>
      </c>
      <c r="Q65" s="1" t="s">
        <v>203</v>
      </c>
      <c r="R65" s="1">
        <f>P65/100</f>
        <v>0.15</v>
      </c>
      <c r="S65" s="1" t="s">
        <v>204</v>
      </c>
    </row>
    <row r="66" spans="2:19">
      <c r="B66" s="335"/>
      <c r="C66" s="85" t="s">
        <v>238</v>
      </c>
      <c r="D66" s="58">
        <f>D64/D65</f>
        <v>0.66666666666666663</v>
      </c>
      <c r="E66" s="1" t="s">
        <v>201</v>
      </c>
      <c r="H66" s="85" t="s">
        <v>238</v>
      </c>
      <c r="I66" s="1">
        <f>I64/I65</f>
        <v>0.24752475247524741</v>
      </c>
      <c r="J66" s="1" t="s">
        <v>201</v>
      </c>
      <c r="K66" s="1">
        <f>I66</f>
        <v>0.24752475247524741</v>
      </c>
      <c r="L66" s="59"/>
      <c r="N66" s="315"/>
    </row>
    <row r="67" spans="2:19">
      <c r="B67" s="335"/>
      <c r="C67" s="85" t="s">
        <v>239</v>
      </c>
      <c r="D67" s="58">
        <f>C9</f>
        <v>20</v>
      </c>
      <c r="E67" s="1" t="s">
        <v>203</v>
      </c>
      <c r="F67" s="1">
        <f>D67/100</f>
        <v>0.2</v>
      </c>
      <c r="G67" s="1" t="s">
        <v>204</v>
      </c>
      <c r="H67" s="85" t="s">
        <v>240</v>
      </c>
      <c r="I67" s="1">
        <f>(D67+D42/2)*2</f>
        <v>52.7</v>
      </c>
      <c r="J67" s="1" t="s">
        <v>203</v>
      </c>
      <c r="K67" s="1">
        <f t="shared" si="17"/>
        <v>0.52700000000000002</v>
      </c>
      <c r="L67" s="59" t="s">
        <v>204</v>
      </c>
      <c r="N67" s="315"/>
      <c r="O67" s="1" t="s">
        <v>239</v>
      </c>
      <c r="P67" s="1">
        <f>C9</f>
        <v>20</v>
      </c>
      <c r="Q67" s="1" t="s">
        <v>203</v>
      </c>
      <c r="R67" s="1">
        <f>P67/100</f>
        <v>0.2</v>
      </c>
      <c r="S67" s="1" t="s">
        <v>204</v>
      </c>
    </row>
    <row r="68" spans="2:19" ht="29.25" thickBot="1">
      <c r="B68" s="336"/>
      <c r="C68" s="86" t="s">
        <v>241</v>
      </c>
      <c r="D68" s="60">
        <v>5</v>
      </c>
      <c r="E68" s="61" t="s">
        <v>203</v>
      </c>
      <c r="F68" s="61">
        <f>D68/100</f>
        <v>0.05</v>
      </c>
      <c r="G68" s="61" t="s">
        <v>204</v>
      </c>
      <c r="H68" s="86" t="s">
        <v>242</v>
      </c>
      <c r="I68" s="61">
        <f>(I64+I65)*(I67/2)</f>
        <v>1328.0400000000006</v>
      </c>
      <c r="J68" s="61" t="s">
        <v>243</v>
      </c>
      <c r="K68" s="61">
        <f>(K64+K65)*K67</f>
        <v>0.26560800000000012</v>
      </c>
      <c r="L68" s="62" t="s">
        <v>230</v>
      </c>
      <c r="N68" s="315"/>
      <c r="O68" s="1" t="s">
        <v>241</v>
      </c>
      <c r="P68" s="1">
        <v>5</v>
      </c>
      <c r="Q68" s="1" t="s">
        <v>203</v>
      </c>
      <c r="R68" s="1">
        <f>P68/100</f>
        <v>0.05</v>
      </c>
      <c r="S68" s="1" t="s">
        <v>204</v>
      </c>
    </row>
    <row r="69" spans="2:19" ht="72.599999999999994" customHeight="1">
      <c r="B69" s="55" t="s">
        <v>206</v>
      </c>
      <c r="C69" s="319" t="s">
        <v>244</v>
      </c>
      <c r="D69" s="319"/>
      <c r="E69" s="319"/>
      <c r="F69" s="319"/>
      <c r="G69" s="319"/>
      <c r="N69" s="2" t="s">
        <v>206</v>
      </c>
      <c r="O69" s="315" t="s">
        <v>245</v>
      </c>
      <c r="P69" s="315"/>
      <c r="Q69" s="315"/>
      <c r="R69" s="315"/>
      <c r="S69" s="315"/>
    </row>
    <row r="70" spans="2:19">
      <c r="B70" s="315" t="s">
        <v>208</v>
      </c>
      <c r="C70" s="74"/>
      <c r="D70" s="73"/>
      <c r="E70" s="73"/>
      <c r="F70" s="73"/>
      <c r="G70" s="102"/>
      <c r="N70" s="315" t="s">
        <v>208</v>
      </c>
    </row>
    <row r="71" spans="2:19">
      <c r="B71" s="315"/>
      <c r="C71" s="75"/>
      <c r="G71" s="103"/>
      <c r="N71" s="315"/>
    </row>
    <row r="72" spans="2:19">
      <c r="B72" s="315"/>
      <c r="C72" s="76"/>
      <c r="D72" s="77"/>
      <c r="E72" s="77"/>
      <c r="F72" s="77"/>
      <c r="G72" s="104"/>
      <c r="N72" s="315"/>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09" t="s">
        <v>253</v>
      </c>
      <c r="C88" s="307"/>
      <c r="D88" s="320"/>
      <c r="E88" s="320"/>
      <c r="F88" s="320"/>
      <c r="G88" s="308"/>
      <c r="H88" s="11">
        <f>H40</f>
        <v>130</v>
      </c>
      <c r="I88" s="11">
        <f>D99/2</f>
        <v>6.35</v>
      </c>
      <c r="J88" s="11">
        <f>I88*-1</f>
        <v>-6.35</v>
      </c>
    </row>
    <row r="89" spans="2:10">
      <c r="B89" s="310"/>
      <c r="C89" s="321"/>
      <c r="D89" s="315"/>
      <c r="E89" s="315"/>
      <c r="F89" s="315"/>
      <c r="G89" s="322"/>
      <c r="H89" s="11">
        <f>($D$100/8/2)+H88</f>
        <v>130.5</v>
      </c>
      <c r="I89" s="11">
        <f>(($I$97-$I$88)/($H$97-$H$88))*(H89-$H$88)+$I$88</f>
        <v>6.09375</v>
      </c>
      <c r="J89" s="11">
        <f t="shared" ref="J89:J98" si="20">I89*-1</f>
        <v>-6.09375</v>
      </c>
    </row>
    <row r="90" spans="2:10">
      <c r="B90" s="310"/>
      <c r="C90" s="321"/>
      <c r="D90" s="315"/>
      <c r="E90" s="315"/>
      <c r="F90" s="315"/>
      <c r="G90" s="322"/>
      <c r="H90" s="11">
        <f>($D$100/8)+H89</f>
        <v>131.5</v>
      </c>
      <c r="I90" s="11">
        <f t="shared" ref="I90:I96" si="21">(($I$97-$I$88)/($H$97-$H$88))*(H90-$H$88)+$I$88</f>
        <v>5.5812499999999998</v>
      </c>
      <c r="J90" s="11">
        <f t="shared" si="20"/>
        <v>-5.5812499999999998</v>
      </c>
    </row>
    <row r="91" spans="2:10">
      <c r="B91" s="310"/>
      <c r="C91" s="321"/>
      <c r="D91" s="315"/>
      <c r="E91" s="315"/>
      <c r="F91" s="315"/>
      <c r="G91" s="322"/>
      <c r="H91" s="11">
        <f t="shared" ref="H91:H96" si="22">($D$100/8)+H90</f>
        <v>132.5</v>
      </c>
      <c r="I91" s="11">
        <f t="shared" si="21"/>
        <v>5.0687499999999996</v>
      </c>
      <c r="J91" s="11">
        <f t="shared" si="20"/>
        <v>-5.0687499999999996</v>
      </c>
    </row>
    <row r="92" spans="2:10">
      <c r="B92" s="310"/>
      <c r="C92" s="321"/>
      <c r="D92" s="315"/>
      <c r="E92" s="315"/>
      <c r="F92" s="315"/>
      <c r="G92" s="322"/>
      <c r="H92" s="11">
        <f t="shared" si="22"/>
        <v>133.5</v>
      </c>
      <c r="I92" s="11">
        <f t="shared" si="21"/>
        <v>4.5562500000000004</v>
      </c>
      <c r="J92" s="11">
        <f t="shared" si="20"/>
        <v>-4.5562500000000004</v>
      </c>
    </row>
    <row r="93" spans="2:10">
      <c r="B93" s="310"/>
      <c r="C93" s="321"/>
      <c r="D93" s="315"/>
      <c r="E93" s="315"/>
      <c r="F93" s="315"/>
      <c r="G93" s="322"/>
      <c r="H93" s="11">
        <f t="shared" si="22"/>
        <v>134.5</v>
      </c>
      <c r="I93" s="11">
        <f t="shared" si="21"/>
        <v>4.0437499999999993</v>
      </c>
      <c r="J93" s="11">
        <f t="shared" si="20"/>
        <v>-4.0437499999999993</v>
      </c>
    </row>
    <row r="94" spans="2:10">
      <c r="B94" s="310"/>
      <c r="C94" s="321"/>
      <c r="D94" s="315"/>
      <c r="E94" s="315"/>
      <c r="F94" s="315"/>
      <c r="G94" s="322"/>
      <c r="H94" s="11">
        <f t="shared" si="22"/>
        <v>135.5</v>
      </c>
      <c r="I94" s="11">
        <f t="shared" si="21"/>
        <v>3.53125</v>
      </c>
      <c r="J94" s="11">
        <f t="shared" si="20"/>
        <v>-3.53125</v>
      </c>
    </row>
    <row r="95" spans="2:10">
      <c r="B95" s="310"/>
      <c r="C95" s="321"/>
      <c r="D95" s="315"/>
      <c r="E95" s="315"/>
      <c r="F95" s="315"/>
      <c r="G95" s="322"/>
      <c r="H95" s="11">
        <f t="shared" si="22"/>
        <v>136.5</v>
      </c>
      <c r="I95" s="11">
        <f t="shared" si="21"/>
        <v>3.0187499999999998</v>
      </c>
      <c r="J95" s="11">
        <f t="shared" si="20"/>
        <v>-3.0187499999999998</v>
      </c>
    </row>
    <row r="96" spans="2:10">
      <c r="B96" s="310"/>
      <c r="C96" s="321"/>
      <c r="D96" s="315"/>
      <c r="E96" s="315"/>
      <c r="F96" s="315"/>
      <c r="G96" s="322"/>
      <c r="H96" s="11">
        <f t="shared" si="22"/>
        <v>137.5</v>
      </c>
      <c r="I96" s="11">
        <f t="shared" si="21"/>
        <v>2.5062500000000001</v>
      </c>
      <c r="J96" s="11">
        <f t="shared" si="20"/>
        <v>-2.5062500000000001</v>
      </c>
    </row>
    <row r="97" spans="2:10" ht="15" thickBot="1">
      <c r="B97" s="314"/>
      <c r="C97" s="323"/>
      <c r="D97" s="324"/>
      <c r="E97" s="324"/>
      <c r="F97" s="324"/>
      <c r="G97" s="325"/>
      <c r="H97" s="11">
        <f>D100+H88</f>
        <v>138</v>
      </c>
      <c r="I97" s="11">
        <f>D98/2</f>
        <v>2.25</v>
      </c>
      <c r="J97" s="11">
        <f t="shared" si="20"/>
        <v>-2.25</v>
      </c>
    </row>
    <row r="98" spans="2:10" ht="28.5">
      <c r="B98" s="319" t="s">
        <v>198</v>
      </c>
      <c r="C98" s="1" t="s">
        <v>254</v>
      </c>
      <c r="D98" s="1">
        <v>4.5</v>
      </c>
      <c r="H98" s="11">
        <f>H97</f>
        <v>138</v>
      </c>
      <c r="I98" s="1">
        <f>0</f>
        <v>0</v>
      </c>
      <c r="J98" s="1">
        <f t="shared" si="20"/>
        <v>0</v>
      </c>
    </row>
    <row r="99" spans="2:10" ht="28.5">
      <c r="B99" s="315"/>
      <c r="C99" s="1" t="s">
        <v>255</v>
      </c>
      <c r="D99" s="1">
        <f>DiameterRocket</f>
        <v>12.7</v>
      </c>
      <c r="E99" s="1" t="s">
        <v>203</v>
      </c>
      <c r="F99" s="1">
        <f>D99/100</f>
        <v>0.127</v>
      </c>
      <c r="G99" s="1" t="s">
        <v>204</v>
      </c>
    </row>
    <row r="100" spans="2:10">
      <c r="B100" s="315"/>
      <c r="C100" s="1" t="s">
        <v>212</v>
      </c>
      <c r="D100" s="1">
        <v>8</v>
      </c>
      <c r="E100" s="1" t="s">
        <v>203</v>
      </c>
      <c r="F100" s="1">
        <f>D100/100</f>
        <v>0.08</v>
      </c>
      <c r="G100" s="1" t="s">
        <v>204</v>
      </c>
    </row>
    <row r="101" spans="2:10" ht="33.6" customHeight="1">
      <c r="B101" s="2" t="s">
        <v>206</v>
      </c>
      <c r="C101" s="315" t="s">
        <v>256</v>
      </c>
      <c r="D101" s="315"/>
      <c r="E101" s="315"/>
      <c r="F101" s="315"/>
      <c r="G101" s="315"/>
    </row>
    <row r="102" spans="2:10">
      <c r="B102" s="315" t="s">
        <v>208</v>
      </c>
    </row>
    <row r="103" spans="2:10">
      <c r="B103" s="315"/>
    </row>
    <row r="104" spans="2:10">
      <c r="B104" s="315"/>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6" zoomScale="84" zoomScaleNormal="120" workbookViewId="0">
      <selection activeCell="C63" sqref="C63"/>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46" t="s">
        <v>259</v>
      </c>
      <c r="U15" s="347"/>
      <c r="V15" s="348"/>
    </row>
    <row r="16" spans="2:22" ht="15.75" thickBot="1">
      <c r="B16" s="292" t="s">
        <v>203</v>
      </c>
      <c r="C16" s="15" t="s">
        <v>260</v>
      </c>
      <c r="D16" s="16" t="s">
        <v>261</v>
      </c>
      <c r="E16" s="16" t="s">
        <v>262</v>
      </c>
      <c r="F16" s="17" t="s">
        <v>263</v>
      </c>
      <c r="G16" s="26" t="s">
        <v>264</v>
      </c>
      <c r="H16" s="27" t="s">
        <v>265</v>
      </c>
      <c r="I16" s="28" t="s">
        <v>266</v>
      </c>
      <c r="K16" s="292"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49" t="s">
        <v>259</v>
      </c>
      <c r="U23" s="350"/>
      <c r="V23" s="351"/>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4">
        <f>P28/($L$28*9.81)</f>
        <v>0.58959825599501714</v>
      </c>
      <c r="N28" s="294">
        <f>Q28/($L$28*9.81)</f>
        <v>4.0485829959514179E-3</v>
      </c>
      <c r="O28" s="294">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52" t="s">
        <v>293</v>
      </c>
      <c r="L33" s="353"/>
      <c r="M33" s="353"/>
      <c r="N33" s="353"/>
      <c r="O33" s="353"/>
      <c r="P33" s="353"/>
      <c r="Q33" s="353"/>
      <c r="R33" s="353"/>
      <c r="S33" s="354"/>
    </row>
    <row r="34" spans="2:19">
      <c r="B34" s="206" t="s">
        <v>294</v>
      </c>
      <c r="C34" s="18"/>
      <c r="D34" s="209"/>
      <c r="E34" s="209"/>
      <c r="F34" s="210"/>
      <c r="G34" s="18"/>
      <c r="H34" s="209"/>
      <c r="I34" s="210"/>
      <c r="K34" s="22" t="s">
        <v>295</v>
      </c>
      <c r="N34" s="121"/>
      <c r="O34" s="14" t="s">
        <v>296</v>
      </c>
      <c r="Q34" s="14" t="s">
        <v>297</v>
      </c>
      <c r="R34" s="290" t="s">
        <v>193</v>
      </c>
      <c r="S34" s="211" t="s">
        <v>298</v>
      </c>
    </row>
    <row r="35" spans="2:19">
      <c r="B35" s="207" t="s">
        <v>299</v>
      </c>
      <c r="C35" s="22" t="s">
        <v>88</v>
      </c>
      <c r="F35" s="211"/>
      <c r="G35" s="22"/>
      <c r="I35" s="211"/>
      <c r="K35" s="22" t="s">
        <v>300</v>
      </c>
      <c r="L35" s="14">
        <v>8</v>
      </c>
      <c r="M35" s="14" t="s">
        <v>203</v>
      </c>
      <c r="N35" s="14">
        <f>L35/100</f>
        <v>0.08</v>
      </c>
      <c r="O35" s="287" t="s">
        <v>204</v>
      </c>
      <c r="Q35" s="14" t="s">
        <v>301</v>
      </c>
      <c r="R35" s="14">
        <v>2.6</v>
      </c>
      <c r="S35" s="288" t="s">
        <v>302</v>
      </c>
    </row>
    <row r="36" spans="2:19">
      <c r="B36" s="207" t="s">
        <v>303</v>
      </c>
      <c r="C36" s="22"/>
      <c r="F36" s="211"/>
      <c r="G36" s="22"/>
      <c r="I36" s="211"/>
      <c r="K36" s="22" t="s">
        <v>304</v>
      </c>
      <c r="L36" s="14">
        <v>7.2</v>
      </c>
      <c r="M36" s="14" t="s">
        <v>203</v>
      </c>
      <c r="N36" s="14">
        <f t="shared" ref="N36:N37" si="32">L36/100</f>
        <v>7.2000000000000008E-2</v>
      </c>
      <c r="O36" s="287" t="s">
        <v>204</v>
      </c>
      <c r="Q36" s="14" t="s">
        <v>305</v>
      </c>
      <c r="R36" s="14">
        <v>60</v>
      </c>
      <c r="S36" s="288" t="s">
        <v>306</v>
      </c>
    </row>
    <row r="37" spans="2:19">
      <c r="B37" s="207" t="s">
        <v>307</v>
      </c>
      <c r="C37" s="22"/>
      <c r="F37" s="211"/>
      <c r="G37" s="22"/>
      <c r="I37" s="211"/>
      <c r="K37" s="22" t="s">
        <v>212</v>
      </c>
      <c r="L37" s="14">
        <v>200</v>
      </c>
      <c r="M37" s="14" t="s">
        <v>203</v>
      </c>
      <c r="N37" s="14">
        <f t="shared" si="32"/>
        <v>2</v>
      </c>
      <c r="O37" s="287" t="s">
        <v>204</v>
      </c>
      <c r="S37" s="211"/>
    </row>
    <row r="38" spans="2:19" ht="15" thickBot="1">
      <c r="B38" s="207" t="s">
        <v>308</v>
      </c>
      <c r="C38" s="22"/>
      <c r="F38" s="211"/>
      <c r="G38" s="22"/>
      <c r="I38" s="211"/>
      <c r="K38" s="22" t="s">
        <v>309</v>
      </c>
      <c r="L38" s="14">
        <f>((L35-L36)/2)*10</f>
        <v>3.9999999999999991</v>
      </c>
      <c r="M38" s="14" t="s">
        <v>234</v>
      </c>
      <c r="Q38" s="14" t="s">
        <v>310</v>
      </c>
      <c r="R38" s="290" t="s">
        <v>193</v>
      </c>
      <c r="S38" s="211" t="s">
        <v>298</v>
      </c>
    </row>
    <row r="39" spans="2:19">
      <c r="B39" s="206" t="s">
        <v>311</v>
      </c>
      <c r="C39" s="18"/>
      <c r="D39" s="209"/>
      <c r="E39" s="209"/>
      <c r="F39" s="210"/>
      <c r="G39" s="18"/>
      <c r="H39" s="209"/>
      <c r="I39" s="210"/>
      <c r="K39" s="22"/>
      <c r="Q39" s="14" t="s">
        <v>301</v>
      </c>
      <c r="R39" s="14">
        <v>1.4</v>
      </c>
      <c r="S39" s="288" t="s">
        <v>302</v>
      </c>
    </row>
    <row r="40" spans="2:19">
      <c r="B40" s="207" t="s">
        <v>312</v>
      </c>
      <c r="C40" s="22"/>
      <c r="F40" s="211"/>
      <c r="G40" s="22"/>
      <c r="I40" s="211"/>
      <c r="K40" s="22" t="s">
        <v>301</v>
      </c>
      <c r="L40" s="14">
        <f>N40</f>
        <v>2.12</v>
      </c>
      <c r="M40" s="14" t="s">
        <v>313</v>
      </c>
      <c r="N40" s="14">
        <f>(R35*R36/100)+(R39*R40/100)</f>
        <v>2.12</v>
      </c>
      <c r="O40" s="287" t="s">
        <v>302</v>
      </c>
      <c r="Q40" s="14" t="s">
        <v>314</v>
      </c>
      <c r="R40" s="14">
        <v>40</v>
      </c>
      <c r="S40" s="288" t="s">
        <v>306</v>
      </c>
    </row>
    <row r="41" spans="2:19" ht="15" thickBot="1">
      <c r="B41" s="208" t="s">
        <v>315</v>
      </c>
      <c r="C41" s="212"/>
      <c r="D41" s="213"/>
      <c r="E41" s="213"/>
      <c r="F41" s="214"/>
      <c r="G41" s="212"/>
      <c r="H41" s="213"/>
      <c r="I41" s="214"/>
      <c r="K41" s="212" t="s">
        <v>316</v>
      </c>
      <c r="L41" s="291">
        <f>N41*1000</f>
        <v>38.575741857135213</v>
      </c>
      <c r="M41" s="213" t="s">
        <v>317</v>
      </c>
      <c r="N41" s="293">
        <f>(((PI()*N36^2)/4)*N37 + ((PI()*N35^2)/4)*N37) * N40</f>
        <v>3.8575741857135214E-2</v>
      </c>
      <c r="O41" s="289" t="s">
        <v>318</v>
      </c>
      <c r="P41" s="213"/>
      <c r="Q41" s="213"/>
      <c r="R41" s="213"/>
      <c r="S41" s="214"/>
    </row>
    <row r="42" spans="2:19" ht="15" thickBot="1"/>
    <row r="43" spans="2:19" ht="15" thickBot="1">
      <c r="K43" s="352" t="s">
        <v>319</v>
      </c>
      <c r="L43" s="353"/>
      <c r="M43" s="353"/>
      <c r="N43" s="353"/>
      <c r="O43" s="353"/>
      <c r="P43" s="353"/>
      <c r="Q43" s="353"/>
      <c r="R43" s="353"/>
      <c r="S43" s="354"/>
    </row>
    <row r="44" spans="2:19" ht="15" thickBot="1">
      <c r="B44" s="343" t="s">
        <v>320</v>
      </c>
      <c r="C44" s="344"/>
      <c r="D44" s="344"/>
      <c r="E44" s="344"/>
      <c r="F44" s="345"/>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7" t="s">
        <v>204</v>
      </c>
      <c r="Q45" s="14" t="s">
        <v>301</v>
      </c>
      <c r="R45" s="14">
        <v>2</v>
      </c>
      <c r="S45" s="288"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7" t="s">
        <v>204</v>
      </c>
      <c r="Q46" s="14" t="s">
        <v>305</v>
      </c>
      <c r="R46" s="14">
        <v>60</v>
      </c>
      <c r="S46" s="288"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7" t="s">
        <v>204</v>
      </c>
      <c r="S47" s="211"/>
    </row>
    <row r="48" spans="2:19">
      <c r="B48" s="22" t="s">
        <v>271</v>
      </c>
      <c r="C48" s="19"/>
      <c r="D48" s="20">
        <v>120</v>
      </c>
      <c r="E48" s="20">
        <v>4</v>
      </c>
      <c r="F48" s="21">
        <v>0</v>
      </c>
      <c r="G48" s="19"/>
      <c r="H48" s="20"/>
      <c r="I48" s="21"/>
      <c r="K48" s="22" t="s">
        <v>233</v>
      </c>
      <c r="L48" s="14">
        <v>2</v>
      </c>
      <c r="M48" s="14" t="s">
        <v>234</v>
      </c>
      <c r="N48" s="14">
        <f>L48/1000</f>
        <v>2E-3</v>
      </c>
      <c r="O48" s="287" t="s">
        <v>204</v>
      </c>
      <c r="Q48" s="14" t="s">
        <v>310</v>
      </c>
      <c r="R48" s="14" t="s">
        <v>193</v>
      </c>
      <c r="S48" s="211"/>
    </row>
    <row r="49" spans="2:19">
      <c r="B49" s="22" t="s">
        <v>272</v>
      </c>
      <c r="C49" s="19"/>
      <c r="D49" s="20">
        <v>120</v>
      </c>
      <c r="E49" s="20">
        <v>-4</v>
      </c>
      <c r="F49" s="21">
        <v>0</v>
      </c>
      <c r="G49" s="19"/>
      <c r="H49" s="20"/>
      <c r="I49" s="21"/>
      <c r="K49" s="22"/>
      <c r="Q49" s="14" t="s">
        <v>301</v>
      </c>
      <c r="R49" s="14">
        <v>1.5</v>
      </c>
      <c r="S49" s="288"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7" t="s">
        <v>302</v>
      </c>
      <c r="Q50" s="14" t="s">
        <v>314</v>
      </c>
      <c r="R50" s="14">
        <v>40</v>
      </c>
      <c r="S50" s="288"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9"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workbookViewId="0">
      <selection activeCell="E28" sqref="E28"/>
    </sheetView>
  </sheetViews>
  <sheetFormatPr defaultColWidth="9.125" defaultRowHeight="14.25"/>
  <cols>
    <col min="1" max="1" width="30.875" customWidth="1"/>
    <col min="2" max="2" width="9.375" style="223" bestFit="1" customWidth="1"/>
  </cols>
  <sheetData>
    <row r="1" spans="1:2" ht="64.5" customHeight="1">
      <c r="A1" s="225" t="s">
        <v>334</v>
      </c>
      <c r="B1" s="223">
        <v>1</v>
      </c>
    </row>
    <row r="2" spans="1:2">
      <c r="A2" t="s">
        <v>335</v>
      </c>
      <c r="B2" s="223">
        <v>20</v>
      </c>
    </row>
    <row r="3" spans="1:2">
      <c r="A3" t="s">
        <v>336</v>
      </c>
      <c r="B3" s="223">
        <f>B2*COS(RADIANS(B7))*COS(RADIANS(B8))</f>
        <v>20</v>
      </c>
    </row>
    <row r="4" spans="1:2">
      <c r="A4" t="s">
        <v>337</v>
      </c>
      <c r="B4" s="223">
        <f>B2*SIN(RADIANS(B8))</f>
        <v>0</v>
      </c>
    </row>
    <row r="5" spans="1:2">
      <c r="A5" t="s">
        <v>338</v>
      </c>
      <c r="B5" s="223">
        <f>B2*SIN(RADIANS(B7))*COS(RADIANS(B8))</f>
        <v>0</v>
      </c>
    </row>
    <row r="6" spans="1:2">
      <c r="A6" t="s">
        <v>339</v>
      </c>
      <c r="B6" s="223">
        <f>B2/(SQRT(1.4*B14*287))</f>
        <v>5.9175813601628095E-2</v>
      </c>
    </row>
    <row r="7" spans="1:2">
      <c r="A7" t="s">
        <v>340</v>
      </c>
      <c r="B7" s="223">
        <v>0</v>
      </c>
    </row>
    <row r="8" spans="1:2">
      <c r="A8" t="s">
        <v>341</v>
      </c>
      <c r="B8" s="223">
        <v>0</v>
      </c>
    </row>
    <row r="9" spans="1:2">
      <c r="A9" t="s">
        <v>342</v>
      </c>
      <c r="B9" s="223">
        <f>RADIANS(AoAfins)</f>
        <v>0</v>
      </c>
    </row>
    <row r="10" spans="1:2">
      <c r="A10" t="s">
        <v>343</v>
      </c>
      <c r="B10" s="223">
        <f>RADIANS(AoSfins)</f>
        <v>0</v>
      </c>
    </row>
    <row r="11" spans="1:2">
      <c r="A11" t="s">
        <v>344</v>
      </c>
      <c r="B11" s="223">
        <v>600</v>
      </c>
    </row>
    <row r="12" spans="1:2">
      <c r="A12" t="s">
        <v>345</v>
      </c>
      <c r="B12" s="223">
        <f>101325*(B14/288.08)^5.256</f>
        <v>94511.922573226519</v>
      </c>
    </row>
    <row r="13" spans="1:2">
      <c r="A13" t="s">
        <v>346</v>
      </c>
      <c r="B13" s="223">
        <f>B12/(287*B14)</f>
        <v>1.1583588404443286</v>
      </c>
    </row>
    <row r="14" spans="1:2">
      <c r="A14" t="s">
        <v>347</v>
      </c>
      <c r="B14" s="223">
        <f>(15.04-0.0065*B11)+273.15</f>
        <v>284.28999999999996</v>
      </c>
    </row>
    <row r="15" spans="1:2">
      <c r="A15" t="s">
        <v>348</v>
      </c>
      <c r="B15" s="223">
        <f>(1.76*10^-5)*((B14/273)^(3/2))*((273+110)/(B14+110))</f>
        <v>1.8167454611580061E-5</v>
      </c>
    </row>
    <row r="16" spans="1:2">
      <c r="A16" t="s">
        <v>349</v>
      </c>
      <c r="B16" s="223">
        <f>B15/B13</f>
        <v>1.5683788112335987E-5</v>
      </c>
    </row>
    <row r="17" spans="1:2">
      <c r="A17" t="s">
        <v>350</v>
      </c>
      <c r="B17" s="223">
        <v>9</v>
      </c>
    </row>
    <row r="18" spans="1:2">
      <c r="A18" t="s">
        <v>351</v>
      </c>
      <c r="B18" s="223">
        <f>DEGREES(ATAN((B5+B17)/B3))</f>
        <v>24.22774531795417</v>
      </c>
    </row>
    <row r="19" spans="1:2">
      <c r="A19" t="s">
        <v>352</v>
      </c>
      <c r="B19" s="223">
        <f>DEGREES(ATAN((B4+B17)/B3))</f>
        <v>24.22774531795417</v>
      </c>
    </row>
    <row r="20" spans="1:2">
      <c r="A20" t="s">
        <v>353</v>
      </c>
      <c r="B20" s="223">
        <f>RADIANS(B18)</f>
        <v>0.42285392613294071</v>
      </c>
    </row>
    <row r="21" spans="1:2">
      <c r="A21" t="s">
        <v>354</v>
      </c>
      <c r="B21" s="223">
        <f>RADIANS(B19)</f>
        <v>0.42285392613294071</v>
      </c>
    </row>
    <row r="22" spans="1:2">
      <c r="A22" t="s">
        <v>355</v>
      </c>
      <c r="B22" s="223">
        <f>0.5*B13*B2^2</f>
        <v>231.67176808886572</v>
      </c>
    </row>
    <row r="23" spans="1:2">
      <c r="A23" t="s">
        <v>356</v>
      </c>
      <c r="B23" s="223">
        <f>CrossSecAreaRocket</f>
        <v>1.3867686977437444E-2</v>
      </c>
    </row>
    <row r="25" spans="1:2" ht="15">
      <c r="A25" s="224" t="s">
        <v>357</v>
      </c>
    </row>
    <row r="26" spans="1:2">
      <c r="A26" t="s">
        <v>197</v>
      </c>
      <c r="B26" s="223">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J196"/>
  <sheetViews>
    <sheetView tabSelected="1" topLeftCell="A2" zoomScale="85" zoomScaleNormal="85" workbookViewId="0">
      <selection activeCell="B35" sqref="B35"/>
    </sheetView>
  </sheetViews>
  <sheetFormatPr defaultColWidth="9.125" defaultRowHeight="15" customHeight="1" outlineLevelRow="1"/>
  <cols>
    <col min="1" max="1" width="34.875" customWidth="1"/>
    <col min="2" max="10" width="11.875" style="223" customWidth="1"/>
  </cols>
  <sheetData>
    <row r="1" spans="1:10" ht="42.95" customHeight="1" thickBot="1">
      <c r="A1" s="372" t="s">
        <v>573</v>
      </c>
      <c r="B1" s="223">
        <v>1</v>
      </c>
      <c r="C1" s="223">
        <v>1</v>
      </c>
      <c r="D1" s="223">
        <v>1</v>
      </c>
      <c r="E1" s="223">
        <v>1</v>
      </c>
      <c r="F1" s="223">
        <v>1</v>
      </c>
      <c r="G1" s="223">
        <v>1</v>
      </c>
      <c r="H1" s="223">
        <v>1</v>
      </c>
      <c r="I1" s="223">
        <v>1</v>
      </c>
      <c r="J1" s="223">
        <v>1</v>
      </c>
    </row>
    <row r="2" spans="1:10" ht="14.25">
      <c r="A2" t="s">
        <v>335</v>
      </c>
      <c r="B2" s="223">
        <f>B6*B8</f>
        <v>340.28626478304994</v>
      </c>
      <c r="C2" s="223">
        <f t="shared" ref="C2:J2" si="0">C6*C8</f>
        <v>340.28626478304994</v>
      </c>
      <c r="D2" s="223">
        <f t="shared" si="0"/>
        <v>340.28626478304994</v>
      </c>
      <c r="E2" s="223">
        <f t="shared" si="0"/>
        <v>340.28626478304994</v>
      </c>
      <c r="F2" s="223">
        <f t="shared" si="0"/>
        <v>340.28626478304994</v>
      </c>
      <c r="G2" s="223">
        <f t="shared" si="0"/>
        <v>340.28626478304994</v>
      </c>
      <c r="H2" s="223">
        <f t="shared" si="0"/>
        <v>340.28626478304994</v>
      </c>
      <c r="I2" s="223">
        <f t="shared" si="0"/>
        <v>340.28626478304994</v>
      </c>
      <c r="J2" s="223">
        <f t="shared" si="0"/>
        <v>340.28626478304994</v>
      </c>
    </row>
    <row r="3" spans="1:10" ht="14.25">
      <c r="A3" t="s">
        <v>336</v>
      </c>
      <c r="B3" s="223">
        <v>100</v>
      </c>
      <c r="C3" s="223">
        <v>100</v>
      </c>
      <c r="D3" s="223">
        <v>100</v>
      </c>
      <c r="E3" s="223">
        <v>100</v>
      </c>
      <c r="F3" s="223">
        <v>100</v>
      </c>
      <c r="G3" s="223">
        <v>100</v>
      </c>
      <c r="H3" s="223">
        <v>100</v>
      </c>
      <c r="I3" s="223">
        <v>100</v>
      </c>
      <c r="J3" s="223">
        <v>100</v>
      </c>
    </row>
    <row r="4" spans="1:10" ht="14.25">
      <c r="A4" t="s">
        <v>337</v>
      </c>
      <c r="B4" s="223">
        <f t="shared" ref="B4" si="1">B2*SIN(RADIANS(B10))</f>
        <v>0</v>
      </c>
      <c r="C4" s="223">
        <f t="shared" ref="C4:J4" si="2">C2*SIN(RADIANS(C10))</f>
        <v>0</v>
      </c>
      <c r="D4" s="223">
        <f t="shared" si="2"/>
        <v>0</v>
      </c>
      <c r="E4" s="223">
        <f t="shared" si="2"/>
        <v>0</v>
      </c>
      <c r="F4" s="223">
        <f t="shared" si="2"/>
        <v>0</v>
      </c>
      <c r="G4" s="223">
        <f t="shared" si="2"/>
        <v>0</v>
      </c>
      <c r="H4" s="223">
        <f t="shared" si="2"/>
        <v>0</v>
      </c>
      <c r="I4" s="223">
        <f t="shared" si="2"/>
        <v>0</v>
      </c>
      <c r="J4" s="223">
        <f t="shared" si="2"/>
        <v>0</v>
      </c>
    </row>
    <row r="5" spans="1:10" ht="14.25">
      <c r="A5" t="s">
        <v>338</v>
      </c>
      <c r="B5" s="223">
        <f t="shared" ref="B5" si="3">B2*SIN(RADIANS(B9))*COS(RADIANS(B10))</f>
        <v>0</v>
      </c>
      <c r="C5" s="223">
        <f t="shared" ref="C5:J5" si="4">C2*SIN(RADIANS(C9))*COS(RADIANS(C10))</f>
        <v>0</v>
      </c>
      <c r="D5" s="223">
        <f t="shared" si="4"/>
        <v>0</v>
      </c>
      <c r="E5" s="223">
        <f t="shared" si="4"/>
        <v>0</v>
      </c>
      <c r="F5" s="223">
        <f t="shared" si="4"/>
        <v>0</v>
      </c>
      <c r="G5" s="223">
        <f t="shared" si="4"/>
        <v>0</v>
      </c>
      <c r="H5" s="223">
        <f t="shared" si="4"/>
        <v>0</v>
      </c>
      <c r="I5" s="223">
        <f t="shared" si="4"/>
        <v>0</v>
      </c>
      <c r="J5" s="223">
        <f t="shared" si="4"/>
        <v>0</v>
      </c>
    </row>
    <row r="6" spans="1:10">
      <c r="A6" s="370" t="s">
        <v>570</v>
      </c>
      <c r="B6" s="223">
        <v>1</v>
      </c>
      <c r="C6" s="223">
        <v>1</v>
      </c>
      <c r="D6" s="223">
        <v>1</v>
      </c>
      <c r="E6" s="223">
        <v>1</v>
      </c>
      <c r="F6" s="223">
        <v>1</v>
      </c>
      <c r="G6" s="223">
        <v>1</v>
      </c>
      <c r="H6" s="223">
        <v>1</v>
      </c>
      <c r="I6" s="223">
        <v>1</v>
      </c>
      <c r="J6" s="223">
        <v>1</v>
      </c>
    </row>
    <row r="7" spans="1:10" ht="14.25">
      <c r="A7" t="s">
        <v>339</v>
      </c>
      <c r="B7" s="223">
        <f>B2/B8</f>
        <v>1</v>
      </c>
      <c r="C7" s="223">
        <f t="shared" ref="C7:J7" si="5">C2/C8</f>
        <v>1</v>
      </c>
      <c r="D7" s="223">
        <f t="shared" si="5"/>
        <v>1</v>
      </c>
      <c r="E7" s="223">
        <f t="shared" si="5"/>
        <v>1</v>
      </c>
      <c r="F7" s="223">
        <f t="shared" si="5"/>
        <v>1</v>
      </c>
      <c r="G7" s="223">
        <f t="shared" si="5"/>
        <v>1</v>
      </c>
      <c r="H7" s="223">
        <f t="shared" si="5"/>
        <v>1</v>
      </c>
      <c r="I7" s="223">
        <f t="shared" si="5"/>
        <v>1</v>
      </c>
      <c r="J7" s="223">
        <f t="shared" si="5"/>
        <v>1</v>
      </c>
    </row>
    <row r="8" spans="1:10" ht="14.25">
      <c r="A8" t="s">
        <v>571</v>
      </c>
      <c r="B8" s="223">
        <f>(SQRT(1.4*B17*287))</f>
        <v>340.28626478304994</v>
      </c>
      <c r="C8" s="223">
        <f t="shared" ref="C8:J8" si="6">(SQRT(1.4*C17*287))</f>
        <v>340.28626478304994</v>
      </c>
      <c r="D8" s="223">
        <f t="shared" si="6"/>
        <v>340.28626478304994</v>
      </c>
      <c r="E8" s="223">
        <f t="shared" si="6"/>
        <v>340.28626478304994</v>
      </c>
      <c r="F8" s="223">
        <f t="shared" si="6"/>
        <v>340.28626478304994</v>
      </c>
      <c r="G8" s="223">
        <f t="shared" si="6"/>
        <v>340.28626478304994</v>
      </c>
      <c r="H8" s="223">
        <f t="shared" si="6"/>
        <v>340.28626478304994</v>
      </c>
      <c r="I8" s="223">
        <f t="shared" si="6"/>
        <v>340.28626478304994</v>
      </c>
      <c r="J8" s="223">
        <f t="shared" si="6"/>
        <v>340.28626478304994</v>
      </c>
    </row>
    <row r="9" spans="1:10">
      <c r="A9" s="370" t="s">
        <v>340</v>
      </c>
      <c r="B9" s="223">
        <v>0</v>
      </c>
      <c r="C9" s="223">
        <v>0</v>
      </c>
      <c r="D9" s="223">
        <v>0</v>
      </c>
      <c r="E9" s="223">
        <v>0</v>
      </c>
      <c r="F9" s="223">
        <v>0</v>
      </c>
      <c r="G9" s="223">
        <v>0</v>
      </c>
      <c r="H9" s="223">
        <v>0</v>
      </c>
      <c r="I9" s="223">
        <v>0</v>
      </c>
      <c r="J9" s="223">
        <v>0</v>
      </c>
    </row>
    <row r="10" spans="1:10" ht="14.25">
      <c r="A10" t="s">
        <v>341</v>
      </c>
      <c r="B10" s="223">
        <v>0</v>
      </c>
      <c r="C10" s="223">
        <v>0</v>
      </c>
      <c r="D10" s="223">
        <v>0</v>
      </c>
      <c r="E10" s="223">
        <v>0</v>
      </c>
      <c r="F10" s="223">
        <v>0</v>
      </c>
      <c r="G10" s="223">
        <v>0</v>
      </c>
      <c r="H10" s="223">
        <v>0</v>
      </c>
      <c r="I10" s="223">
        <v>0</v>
      </c>
      <c r="J10" s="223">
        <v>0</v>
      </c>
    </row>
    <row r="11" spans="1:10" ht="14.25">
      <c r="A11" t="s">
        <v>342</v>
      </c>
      <c r="B11" s="223">
        <f t="shared" ref="B11:J11" si="7">RADIANS(AoAfins)</f>
        <v>0</v>
      </c>
      <c r="C11" s="223">
        <f t="shared" si="7"/>
        <v>0</v>
      </c>
      <c r="D11" s="223">
        <f t="shared" si="7"/>
        <v>0</v>
      </c>
      <c r="E11" s="223">
        <f t="shared" si="7"/>
        <v>0</v>
      </c>
      <c r="F11" s="223">
        <f t="shared" si="7"/>
        <v>0</v>
      </c>
      <c r="G11" s="223">
        <f t="shared" si="7"/>
        <v>0</v>
      </c>
      <c r="H11" s="223">
        <f t="shared" si="7"/>
        <v>0</v>
      </c>
      <c r="I11" s="223">
        <f t="shared" si="7"/>
        <v>0</v>
      </c>
      <c r="J11" s="223">
        <f t="shared" si="7"/>
        <v>0</v>
      </c>
    </row>
    <row r="12" spans="1:10" ht="14.25">
      <c r="A12" t="s">
        <v>343</v>
      </c>
      <c r="B12" s="223">
        <f t="shared" ref="B12:J12" si="8">RADIANS(AoSfins)</f>
        <v>0</v>
      </c>
      <c r="C12" s="223">
        <f t="shared" si="8"/>
        <v>0</v>
      </c>
      <c r="D12" s="223">
        <f t="shared" si="8"/>
        <v>0</v>
      </c>
      <c r="E12" s="223">
        <f t="shared" si="8"/>
        <v>0</v>
      </c>
      <c r="F12" s="223">
        <f t="shared" si="8"/>
        <v>0</v>
      </c>
      <c r="G12" s="223">
        <f t="shared" si="8"/>
        <v>0</v>
      </c>
      <c r="H12" s="223">
        <f t="shared" si="8"/>
        <v>0</v>
      </c>
      <c r="I12" s="223">
        <f t="shared" si="8"/>
        <v>0</v>
      </c>
      <c r="J12" s="223">
        <f t="shared" si="8"/>
        <v>0</v>
      </c>
    </row>
    <row r="13" spans="1:10" thickBot="1">
      <c r="A13" t="s">
        <v>344</v>
      </c>
      <c r="B13" s="223">
        <v>0</v>
      </c>
      <c r="C13" s="223">
        <v>0</v>
      </c>
      <c r="D13" s="223">
        <v>0</v>
      </c>
      <c r="E13" s="223">
        <v>0</v>
      </c>
      <c r="F13" s="223">
        <v>0</v>
      </c>
      <c r="G13" s="223">
        <v>0</v>
      </c>
      <c r="H13" s="223">
        <v>0</v>
      </c>
      <c r="I13" s="223">
        <v>0</v>
      </c>
      <c r="J13" s="223">
        <v>0</v>
      </c>
    </row>
    <row r="14" spans="1:10" ht="15.75" thickBot="1">
      <c r="A14" s="371" t="s">
        <v>572</v>
      </c>
    </row>
    <row r="15" spans="1:10" ht="14.25" hidden="1" outlineLevel="1">
      <c r="A15" t="s">
        <v>358</v>
      </c>
      <c r="B15" s="223">
        <f t="shared" ref="B15" si="9">101325*(B17/288.08)^5.256</f>
        <v>101528.51875418922</v>
      </c>
      <c r="C15" s="223">
        <f t="shared" ref="C15:J15" si="10">101325*(C17/288.08)^5.256</f>
        <v>101528.51875418922</v>
      </c>
      <c r="D15" s="223">
        <f t="shared" si="10"/>
        <v>101528.51875418922</v>
      </c>
      <c r="E15" s="223">
        <f t="shared" si="10"/>
        <v>101528.51875418922</v>
      </c>
      <c r="F15" s="223">
        <f t="shared" si="10"/>
        <v>101528.51875418922</v>
      </c>
      <c r="G15" s="223">
        <f t="shared" si="10"/>
        <v>101528.51875418922</v>
      </c>
      <c r="H15" s="223">
        <f t="shared" si="10"/>
        <v>101528.51875418922</v>
      </c>
      <c r="I15" s="223">
        <f t="shared" si="10"/>
        <v>101528.51875418922</v>
      </c>
      <c r="J15" s="223">
        <f t="shared" si="10"/>
        <v>101528.51875418922</v>
      </c>
    </row>
    <row r="16" spans="1:10" ht="14.25" hidden="1" outlineLevel="1">
      <c r="A16" t="s">
        <v>346</v>
      </c>
      <c r="B16" s="223">
        <f t="shared" ref="B16" si="11">B15/(287*B17)</f>
        <v>1.2275162395185863</v>
      </c>
      <c r="C16" s="223">
        <f t="shared" ref="C16:J16" si="12">C15/(287*C17)</f>
        <v>1.2275162395185863</v>
      </c>
      <c r="D16" s="223">
        <f t="shared" si="12"/>
        <v>1.2275162395185863</v>
      </c>
      <c r="E16" s="223">
        <f t="shared" si="12"/>
        <v>1.2275162395185863</v>
      </c>
      <c r="F16" s="223">
        <f t="shared" si="12"/>
        <v>1.2275162395185863</v>
      </c>
      <c r="G16" s="223">
        <f t="shared" si="12"/>
        <v>1.2275162395185863</v>
      </c>
      <c r="H16" s="223">
        <f t="shared" si="12"/>
        <v>1.2275162395185863</v>
      </c>
      <c r="I16" s="223">
        <f t="shared" si="12"/>
        <v>1.2275162395185863</v>
      </c>
      <c r="J16" s="223">
        <f t="shared" si="12"/>
        <v>1.2275162395185863</v>
      </c>
    </row>
    <row r="17" spans="1:10" ht="14.25" hidden="1" outlineLevel="1">
      <c r="A17" t="s">
        <v>347</v>
      </c>
      <c r="B17" s="223">
        <f>(15.04-0.0065*B13)+273.15</f>
        <v>288.19</v>
      </c>
      <c r="C17" s="223">
        <f t="shared" ref="C17:J17" si="13">(15.04-0.0065*C13)+273.15</f>
        <v>288.19</v>
      </c>
      <c r="D17" s="223">
        <f t="shared" si="13"/>
        <v>288.19</v>
      </c>
      <c r="E17" s="223">
        <f t="shared" si="13"/>
        <v>288.19</v>
      </c>
      <c r="F17" s="223">
        <f t="shared" si="13"/>
        <v>288.19</v>
      </c>
      <c r="G17" s="223">
        <f t="shared" si="13"/>
        <v>288.19</v>
      </c>
      <c r="H17" s="223">
        <f t="shared" si="13"/>
        <v>288.19</v>
      </c>
      <c r="I17" s="223">
        <f t="shared" si="13"/>
        <v>288.19</v>
      </c>
      <c r="J17" s="223">
        <f t="shared" si="13"/>
        <v>288.19</v>
      </c>
    </row>
    <row r="18" spans="1:10" ht="14.25" hidden="1" outlineLevel="1">
      <c r="A18" t="s">
        <v>569</v>
      </c>
      <c r="B18" s="223">
        <f>B17-273</f>
        <v>15.189999999999998</v>
      </c>
      <c r="C18" s="223">
        <f t="shared" ref="C18:J18" si="14">C17-273</f>
        <v>15.189999999999998</v>
      </c>
      <c r="D18" s="223">
        <f t="shared" si="14"/>
        <v>15.189999999999998</v>
      </c>
      <c r="E18" s="223">
        <f t="shared" si="14"/>
        <v>15.189999999999998</v>
      </c>
      <c r="F18" s="223">
        <f t="shared" si="14"/>
        <v>15.189999999999998</v>
      </c>
      <c r="G18" s="223">
        <f t="shared" si="14"/>
        <v>15.189999999999998</v>
      </c>
      <c r="H18" s="223">
        <f t="shared" si="14"/>
        <v>15.189999999999998</v>
      </c>
      <c r="I18" s="223">
        <f t="shared" si="14"/>
        <v>15.189999999999998</v>
      </c>
      <c r="J18" s="223">
        <f t="shared" si="14"/>
        <v>15.189999999999998</v>
      </c>
    </row>
    <row r="19" spans="1:10" ht="14.25" hidden="1" outlineLevel="1">
      <c r="A19" t="s">
        <v>348</v>
      </c>
      <c r="B19" s="218">
        <f>(1.76*10^-5)*((B17/273)^(3/2))*((273+110)/(B17+110))</f>
        <v>1.8360964149388051E-5</v>
      </c>
      <c r="C19" s="218">
        <f t="shared" ref="C19:J19" si="15">(1.76*10^-5)*((C17/273)^(3/2))*((273+110)/(C17+110))</f>
        <v>1.8360964149388051E-5</v>
      </c>
      <c r="D19" s="218">
        <f t="shared" si="15"/>
        <v>1.8360964149388051E-5</v>
      </c>
      <c r="E19" s="218">
        <f t="shared" si="15"/>
        <v>1.8360964149388051E-5</v>
      </c>
      <c r="F19" s="218">
        <f t="shared" si="15"/>
        <v>1.8360964149388051E-5</v>
      </c>
      <c r="G19" s="218">
        <f t="shared" si="15"/>
        <v>1.8360964149388051E-5</v>
      </c>
      <c r="H19" s="218">
        <f t="shared" si="15"/>
        <v>1.8360964149388051E-5</v>
      </c>
      <c r="I19" s="218">
        <f t="shared" si="15"/>
        <v>1.8360964149388051E-5</v>
      </c>
      <c r="J19" s="218">
        <f t="shared" si="15"/>
        <v>1.8360964149388051E-5</v>
      </c>
    </row>
    <row r="20" spans="1:10" ht="14.25" hidden="1" outlineLevel="1">
      <c r="A20" t="s">
        <v>349</v>
      </c>
      <c r="B20" s="218">
        <f t="shared" ref="B20" si="16">B19/B16</f>
        <v>1.4957817712121631E-5</v>
      </c>
      <c r="C20" s="218">
        <f t="shared" ref="C20:J20" si="17">C19/C16</f>
        <v>1.4957817712121631E-5</v>
      </c>
      <c r="D20" s="218">
        <f t="shared" si="17"/>
        <v>1.4957817712121631E-5</v>
      </c>
      <c r="E20" s="218">
        <f t="shared" si="17"/>
        <v>1.4957817712121631E-5</v>
      </c>
      <c r="F20" s="218">
        <f t="shared" si="17"/>
        <v>1.4957817712121631E-5</v>
      </c>
      <c r="G20" s="218">
        <f t="shared" si="17"/>
        <v>1.4957817712121631E-5</v>
      </c>
      <c r="H20" s="218">
        <f t="shared" si="17"/>
        <v>1.4957817712121631E-5</v>
      </c>
      <c r="I20" s="218">
        <f t="shared" si="17"/>
        <v>1.4957817712121631E-5</v>
      </c>
      <c r="J20" s="218">
        <f t="shared" si="17"/>
        <v>1.4957817712121631E-5</v>
      </c>
    </row>
    <row r="21" spans="1:10" ht="14.25" hidden="1" outlineLevel="1">
      <c r="A21" t="s">
        <v>350</v>
      </c>
      <c r="B21" s="223">
        <v>9</v>
      </c>
      <c r="C21" s="223">
        <v>9</v>
      </c>
      <c r="D21" s="223">
        <v>9</v>
      </c>
      <c r="E21" s="223">
        <v>9</v>
      </c>
      <c r="F21" s="223">
        <v>9</v>
      </c>
      <c r="G21" s="223">
        <v>9</v>
      </c>
      <c r="H21" s="223">
        <v>9</v>
      </c>
      <c r="I21" s="223">
        <v>9</v>
      </c>
      <c r="J21" s="223">
        <v>9</v>
      </c>
    </row>
    <row r="22" spans="1:10" ht="14.25" hidden="1" outlineLevel="1">
      <c r="A22" t="s">
        <v>359</v>
      </c>
    </row>
    <row r="23" spans="1:10" ht="14.25" hidden="1" outlineLevel="1">
      <c r="A23" t="s">
        <v>360</v>
      </c>
    </row>
    <row r="24" spans="1:10" ht="14.25" hidden="1" outlineLevel="1">
      <c r="A24" t="s">
        <v>361</v>
      </c>
    </row>
    <row r="25" spans="1:10" ht="14.25" hidden="1" outlineLevel="1">
      <c r="A25" t="s">
        <v>351</v>
      </c>
      <c r="B25" s="223">
        <f t="shared" ref="B25" si="18">DEGREES(ATAN((B5+B21)/B3))</f>
        <v>5.1427645578842416</v>
      </c>
      <c r="C25" s="223">
        <f t="shared" ref="C25:J25" si="19">DEGREES(ATAN((C5+C21)/C3))</f>
        <v>5.1427645578842416</v>
      </c>
      <c r="D25" s="223">
        <f t="shared" si="19"/>
        <v>5.1427645578842416</v>
      </c>
      <c r="E25" s="223">
        <f t="shared" si="19"/>
        <v>5.1427645578842416</v>
      </c>
      <c r="F25" s="223">
        <f t="shared" si="19"/>
        <v>5.1427645578842416</v>
      </c>
      <c r="G25" s="223">
        <f t="shared" si="19"/>
        <v>5.1427645578842416</v>
      </c>
      <c r="H25" s="223">
        <f t="shared" si="19"/>
        <v>5.1427645578842416</v>
      </c>
      <c r="I25" s="223">
        <f t="shared" si="19"/>
        <v>5.1427645578842416</v>
      </c>
      <c r="J25" s="223">
        <f t="shared" si="19"/>
        <v>5.1427645578842416</v>
      </c>
    </row>
    <row r="26" spans="1:10" ht="14.25" hidden="1" outlineLevel="1">
      <c r="A26" t="s">
        <v>352</v>
      </c>
      <c r="B26" s="223">
        <f t="shared" ref="B26" si="20">DEGREES(ATAN((B4+B21)/B3))</f>
        <v>5.1427645578842416</v>
      </c>
      <c r="C26" s="223">
        <f t="shared" ref="C26:J26" si="21">DEGREES(ATAN((C4+C21)/C3))</f>
        <v>5.1427645578842416</v>
      </c>
      <c r="D26" s="223">
        <f t="shared" si="21"/>
        <v>5.1427645578842416</v>
      </c>
      <c r="E26" s="223">
        <f t="shared" si="21"/>
        <v>5.1427645578842416</v>
      </c>
      <c r="F26" s="223">
        <f t="shared" si="21"/>
        <v>5.1427645578842416</v>
      </c>
      <c r="G26" s="223">
        <f t="shared" si="21"/>
        <v>5.1427645578842416</v>
      </c>
      <c r="H26" s="223">
        <f t="shared" si="21"/>
        <v>5.1427645578842416</v>
      </c>
      <c r="I26" s="223">
        <f t="shared" si="21"/>
        <v>5.1427645578842416</v>
      </c>
      <c r="J26" s="223">
        <f t="shared" si="21"/>
        <v>5.1427645578842416</v>
      </c>
    </row>
    <row r="27" spans="1:10" ht="14.25" hidden="1" outlineLevel="1">
      <c r="A27" t="s">
        <v>353</v>
      </c>
      <c r="B27" s="223">
        <f t="shared" ref="B27" si="22">RADIANS(B25)</f>
        <v>8.9758174189950524E-2</v>
      </c>
      <c r="C27" s="223">
        <f t="shared" ref="C27:J27" si="23">RADIANS(C25)</f>
        <v>8.9758174189950524E-2</v>
      </c>
      <c r="D27" s="223">
        <f t="shared" si="23"/>
        <v>8.9758174189950524E-2</v>
      </c>
      <c r="E27" s="223">
        <f t="shared" si="23"/>
        <v>8.9758174189950524E-2</v>
      </c>
      <c r="F27" s="223">
        <f t="shared" si="23"/>
        <v>8.9758174189950524E-2</v>
      </c>
      <c r="G27" s="223">
        <f t="shared" si="23"/>
        <v>8.9758174189950524E-2</v>
      </c>
      <c r="H27" s="223">
        <f t="shared" si="23"/>
        <v>8.9758174189950524E-2</v>
      </c>
      <c r="I27" s="223">
        <f t="shared" si="23"/>
        <v>8.9758174189950524E-2</v>
      </c>
      <c r="J27" s="223">
        <f t="shared" si="23"/>
        <v>8.9758174189950524E-2</v>
      </c>
    </row>
    <row r="28" spans="1:10" ht="14.25" hidden="1" outlineLevel="1">
      <c r="A28" t="s">
        <v>354</v>
      </c>
      <c r="B28" s="223">
        <f t="shared" ref="B28" si="24">RADIANS(B26)</f>
        <v>8.9758174189950524E-2</v>
      </c>
      <c r="C28" s="223">
        <f t="shared" ref="C28:J28" si="25">RADIANS(C26)</f>
        <v>8.9758174189950524E-2</v>
      </c>
      <c r="D28" s="223">
        <f t="shared" si="25"/>
        <v>8.9758174189950524E-2</v>
      </c>
      <c r="E28" s="223">
        <f t="shared" si="25"/>
        <v>8.9758174189950524E-2</v>
      </c>
      <c r="F28" s="223">
        <f t="shared" si="25"/>
        <v>8.9758174189950524E-2</v>
      </c>
      <c r="G28" s="223">
        <f t="shared" si="25"/>
        <v>8.9758174189950524E-2</v>
      </c>
      <c r="H28" s="223">
        <f t="shared" si="25"/>
        <v>8.9758174189950524E-2</v>
      </c>
      <c r="I28" s="223">
        <f t="shared" si="25"/>
        <v>8.9758174189950524E-2</v>
      </c>
      <c r="J28" s="223">
        <f t="shared" si="25"/>
        <v>8.9758174189950524E-2</v>
      </c>
    </row>
    <row r="29" spans="1:10" ht="14.25" hidden="1" outlineLevel="1">
      <c r="A29" t="s">
        <v>355</v>
      </c>
      <c r="B29" s="223">
        <f t="shared" ref="B29" si="26">0.5*B16*B2^2</f>
        <v>71069.963127932439</v>
      </c>
      <c r="C29" s="223">
        <f t="shared" ref="C29:J29" si="27">0.5*C16*C2^2</f>
        <v>71069.963127932439</v>
      </c>
      <c r="D29" s="223">
        <f t="shared" si="27"/>
        <v>71069.963127932439</v>
      </c>
      <c r="E29" s="223">
        <f t="shared" si="27"/>
        <v>71069.963127932439</v>
      </c>
      <c r="F29" s="223">
        <f t="shared" si="27"/>
        <v>71069.963127932439</v>
      </c>
      <c r="G29" s="223">
        <f t="shared" si="27"/>
        <v>71069.963127932439</v>
      </c>
      <c r="H29" s="223">
        <f t="shared" si="27"/>
        <v>71069.963127932439</v>
      </c>
      <c r="I29" s="223">
        <f t="shared" si="27"/>
        <v>71069.963127932439</v>
      </c>
      <c r="J29" s="223">
        <f t="shared" si="27"/>
        <v>71069.963127932439</v>
      </c>
    </row>
    <row r="30" spans="1:10" ht="14.25" hidden="1" outlineLevel="1">
      <c r="A30" t="s">
        <v>356</v>
      </c>
      <c r="B30" s="223">
        <f t="shared" ref="B30:J30" si="28">CrossSecAreaRocket</f>
        <v>1.3867686977437444E-2</v>
      </c>
      <c r="C30" s="223">
        <f t="shared" si="28"/>
        <v>1.3867686977437444E-2</v>
      </c>
      <c r="D30" s="223">
        <f t="shared" si="28"/>
        <v>1.3867686977437444E-2</v>
      </c>
      <c r="E30" s="223">
        <f t="shared" si="28"/>
        <v>1.3867686977437444E-2</v>
      </c>
      <c r="F30" s="223">
        <f t="shared" si="28"/>
        <v>1.3867686977437444E-2</v>
      </c>
      <c r="G30" s="223">
        <f t="shared" si="28"/>
        <v>1.3867686977437444E-2</v>
      </c>
      <c r="H30" s="223">
        <f t="shared" si="28"/>
        <v>1.3867686977437444E-2</v>
      </c>
      <c r="I30" s="223">
        <f t="shared" si="28"/>
        <v>1.3867686977437444E-2</v>
      </c>
      <c r="J30" s="223">
        <f t="shared" si="28"/>
        <v>1.3867686977437444E-2</v>
      </c>
    </row>
    <row r="31" spans="1:10" ht="15" customHeight="1" collapsed="1" thickBot="1"/>
    <row r="32" spans="1:10" ht="15.75" thickBot="1">
      <c r="A32" s="371" t="s">
        <v>362</v>
      </c>
    </row>
    <row r="33" spans="1:10" ht="14.25">
      <c r="A33" t="s">
        <v>363</v>
      </c>
      <c r="B33" s="223">
        <f t="shared" ref="B33:J33" si="29">DiameterRocket</f>
        <v>12.7</v>
      </c>
      <c r="C33" s="223">
        <f t="shared" si="29"/>
        <v>12.7</v>
      </c>
      <c r="D33" s="223">
        <f t="shared" si="29"/>
        <v>12.7</v>
      </c>
      <c r="E33" s="223">
        <f t="shared" si="29"/>
        <v>12.7</v>
      </c>
      <c r="F33" s="223">
        <f t="shared" si="29"/>
        <v>12.7</v>
      </c>
      <c r="G33" s="223">
        <f t="shared" si="29"/>
        <v>12.7</v>
      </c>
      <c r="H33" s="223">
        <f t="shared" si="29"/>
        <v>12.7</v>
      </c>
      <c r="I33" s="223">
        <f t="shared" si="29"/>
        <v>12.7</v>
      </c>
      <c r="J33" s="223">
        <f t="shared" si="29"/>
        <v>12.7</v>
      </c>
    </row>
    <row r="34" spans="1:10" ht="14.25">
      <c r="A34" t="s">
        <v>364</v>
      </c>
      <c r="B34" s="223">
        <f t="shared" ref="B34" si="30">B33/100</f>
        <v>0.127</v>
      </c>
      <c r="C34" s="223">
        <f t="shared" ref="C34:J34" si="31">C33/100</f>
        <v>0.127</v>
      </c>
      <c r="D34" s="223">
        <f t="shared" si="31"/>
        <v>0.127</v>
      </c>
      <c r="E34" s="223">
        <f t="shared" si="31"/>
        <v>0.127</v>
      </c>
      <c r="F34" s="223">
        <f t="shared" si="31"/>
        <v>0.127</v>
      </c>
      <c r="G34" s="223">
        <f t="shared" si="31"/>
        <v>0.127</v>
      </c>
      <c r="H34" s="223">
        <f t="shared" si="31"/>
        <v>0.127</v>
      </c>
      <c r="I34" s="223">
        <f t="shared" si="31"/>
        <v>0.127</v>
      </c>
      <c r="J34" s="223">
        <f t="shared" si="31"/>
        <v>0.127</v>
      </c>
    </row>
    <row r="35" spans="1:10" ht="14.25">
      <c r="A35" t="s">
        <v>365</v>
      </c>
      <c r="B35" s="295">
        <f t="shared" ref="B35" si="32">((B39-B37)/(-B47))*(B47+B33/2)+B39</f>
        <v>17.116666666666667</v>
      </c>
      <c r="C35" s="295">
        <f t="shared" ref="C35:J35" si="33">((C39-C37)/(-C47))*(C47+C33/2)+C39</f>
        <v>17.116666666666667</v>
      </c>
      <c r="D35" s="295">
        <f t="shared" si="33"/>
        <v>17.116666666666667</v>
      </c>
      <c r="E35" s="295">
        <f t="shared" si="33"/>
        <v>17.116666666666667</v>
      </c>
      <c r="F35" s="295">
        <f t="shared" si="33"/>
        <v>17.116666666666667</v>
      </c>
      <c r="G35" s="295">
        <f t="shared" si="33"/>
        <v>17.116666666666667</v>
      </c>
      <c r="H35" s="295">
        <f t="shared" si="33"/>
        <v>17.116666666666667</v>
      </c>
      <c r="I35" s="295">
        <f t="shared" si="33"/>
        <v>17.116666666666667</v>
      </c>
      <c r="J35" s="295">
        <f t="shared" si="33"/>
        <v>17.116666666666667</v>
      </c>
    </row>
    <row r="36" spans="1:10" ht="14.25">
      <c r="A36" t="s">
        <v>366</v>
      </c>
      <c r="B36" s="223">
        <f t="shared" ref="B36" si="34">B35/100</f>
        <v>0.17116666666666666</v>
      </c>
      <c r="C36" s="223">
        <f t="shared" ref="C36:J36" si="35">C35/100</f>
        <v>0.17116666666666666</v>
      </c>
      <c r="D36" s="223">
        <f t="shared" si="35"/>
        <v>0.17116666666666666</v>
      </c>
      <c r="E36" s="223">
        <f t="shared" si="35"/>
        <v>0.17116666666666666</v>
      </c>
      <c r="F36" s="223">
        <f t="shared" si="35"/>
        <v>0.17116666666666666</v>
      </c>
      <c r="G36" s="223">
        <f t="shared" si="35"/>
        <v>0.17116666666666666</v>
      </c>
      <c r="H36" s="223">
        <f t="shared" si="35"/>
        <v>0.17116666666666666</v>
      </c>
      <c r="I36" s="223">
        <f t="shared" si="35"/>
        <v>0.17116666666666666</v>
      </c>
      <c r="J36" s="223">
        <f t="shared" si="35"/>
        <v>0.17116666666666666</v>
      </c>
    </row>
    <row r="37" spans="1:10">
      <c r="A37" s="373" t="s">
        <v>367</v>
      </c>
      <c r="B37" s="223">
        <v>15</v>
      </c>
      <c r="C37" s="223">
        <v>15</v>
      </c>
      <c r="D37" s="223">
        <v>15</v>
      </c>
      <c r="E37" s="223">
        <v>15</v>
      </c>
      <c r="F37" s="223">
        <v>15</v>
      </c>
      <c r="G37" s="223">
        <v>15</v>
      </c>
      <c r="H37" s="223">
        <v>15</v>
      </c>
      <c r="I37" s="223">
        <v>15</v>
      </c>
      <c r="J37" s="223">
        <v>15</v>
      </c>
    </row>
    <row r="38" spans="1:10" ht="14.25">
      <c r="A38" t="s">
        <v>364</v>
      </c>
      <c r="B38" s="223">
        <f t="shared" ref="B38" si="36">B37/100</f>
        <v>0.15</v>
      </c>
      <c r="C38" s="223">
        <f t="shared" ref="C38:J38" si="37">C37/100</f>
        <v>0.15</v>
      </c>
      <c r="D38" s="223">
        <f t="shared" si="37"/>
        <v>0.15</v>
      </c>
      <c r="E38" s="223">
        <f t="shared" si="37"/>
        <v>0.15</v>
      </c>
      <c r="F38" s="223">
        <f t="shared" si="37"/>
        <v>0.15</v>
      </c>
      <c r="G38" s="223">
        <f t="shared" si="37"/>
        <v>0.15</v>
      </c>
      <c r="H38" s="223">
        <f t="shared" si="37"/>
        <v>0.15</v>
      </c>
      <c r="I38" s="223">
        <f t="shared" si="37"/>
        <v>0.15</v>
      </c>
      <c r="J38" s="223">
        <f t="shared" si="37"/>
        <v>0.15</v>
      </c>
    </row>
    <row r="39" spans="1:10">
      <c r="A39" s="373" t="s">
        <v>368</v>
      </c>
      <c r="B39" s="223">
        <v>10</v>
      </c>
      <c r="C39" s="223">
        <v>10</v>
      </c>
      <c r="D39" s="223">
        <v>10</v>
      </c>
      <c r="E39" s="223">
        <v>10</v>
      </c>
      <c r="F39" s="223">
        <v>10</v>
      </c>
      <c r="G39" s="223">
        <v>10</v>
      </c>
      <c r="H39" s="223">
        <v>10</v>
      </c>
      <c r="I39" s="223">
        <v>10</v>
      </c>
      <c r="J39" s="223">
        <v>10</v>
      </c>
    </row>
    <row r="40" spans="1:10" ht="14.25">
      <c r="A40" t="s">
        <v>364</v>
      </c>
      <c r="B40" s="223">
        <f t="shared" ref="B40" si="38">B39/100</f>
        <v>0.1</v>
      </c>
      <c r="C40" s="223">
        <f t="shared" ref="C40:J40" si="39">C39/100</f>
        <v>0.1</v>
      </c>
      <c r="D40" s="223">
        <f t="shared" si="39"/>
        <v>0.1</v>
      </c>
      <c r="E40" s="223">
        <f t="shared" si="39"/>
        <v>0.1</v>
      </c>
      <c r="F40" s="223">
        <f t="shared" si="39"/>
        <v>0.1</v>
      </c>
      <c r="G40" s="223">
        <f t="shared" si="39"/>
        <v>0.1</v>
      </c>
      <c r="H40" s="223">
        <f t="shared" si="39"/>
        <v>0.1</v>
      </c>
      <c r="I40" s="223">
        <f t="shared" si="39"/>
        <v>0.1</v>
      </c>
      <c r="J40" s="223">
        <f t="shared" si="39"/>
        <v>0.1</v>
      </c>
    </row>
    <row r="41" spans="1:10">
      <c r="A41" s="373" t="s">
        <v>369</v>
      </c>
      <c r="B41" s="223">
        <v>2</v>
      </c>
      <c r="C41" s="223">
        <v>2</v>
      </c>
      <c r="D41" s="223">
        <v>2</v>
      </c>
      <c r="E41" s="223">
        <v>2</v>
      </c>
      <c r="F41" s="223">
        <v>2</v>
      </c>
      <c r="G41" s="223">
        <v>2</v>
      </c>
      <c r="H41" s="223">
        <v>2</v>
      </c>
      <c r="I41" s="223">
        <v>2</v>
      </c>
      <c r="J41" s="223">
        <v>2</v>
      </c>
    </row>
    <row r="42" spans="1:10" ht="14.25">
      <c r="A42" t="s">
        <v>364</v>
      </c>
      <c r="B42" s="223">
        <f t="shared" ref="B42" si="40">B41/100</f>
        <v>0.02</v>
      </c>
      <c r="C42" s="223">
        <f t="shared" ref="C42:J42" si="41">C41/100</f>
        <v>0.02</v>
      </c>
      <c r="D42" s="223">
        <f t="shared" si="41"/>
        <v>0.02</v>
      </c>
      <c r="E42" s="223">
        <f t="shared" si="41"/>
        <v>0.02</v>
      </c>
      <c r="F42" s="223">
        <f t="shared" si="41"/>
        <v>0.02</v>
      </c>
      <c r="G42" s="223">
        <f t="shared" si="41"/>
        <v>0.02</v>
      </c>
      <c r="H42" s="223">
        <f t="shared" si="41"/>
        <v>0.02</v>
      </c>
      <c r="I42" s="223">
        <f t="shared" si="41"/>
        <v>0.02</v>
      </c>
      <c r="J42" s="223">
        <f t="shared" si="41"/>
        <v>0.02</v>
      </c>
    </row>
    <row r="43" spans="1:10">
      <c r="A43" s="373" t="s">
        <v>370</v>
      </c>
      <c r="B43" s="223">
        <v>45</v>
      </c>
      <c r="C43" s="223">
        <v>45</v>
      </c>
      <c r="D43" s="223">
        <v>45</v>
      </c>
      <c r="E43" s="223">
        <v>45</v>
      </c>
      <c r="F43" s="223">
        <v>45</v>
      </c>
      <c r="G43" s="223">
        <v>45</v>
      </c>
      <c r="H43" s="223">
        <v>45</v>
      </c>
      <c r="I43" s="223">
        <v>45</v>
      </c>
      <c r="J43" s="223">
        <v>45</v>
      </c>
    </row>
    <row r="44" spans="1:10" ht="14.25">
      <c r="A44" t="s">
        <v>371</v>
      </c>
      <c r="B44" s="223">
        <f t="shared" ref="B44" si="42">B39/B37</f>
        <v>0.66666666666666663</v>
      </c>
      <c r="C44" s="223">
        <f t="shared" ref="C44:J44" si="43">C39/C37</f>
        <v>0.66666666666666663</v>
      </c>
      <c r="D44" s="223">
        <f t="shared" si="43"/>
        <v>0.66666666666666663</v>
      </c>
      <c r="E44" s="223">
        <f t="shared" si="43"/>
        <v>0.66666666666666663</v>
      </c>
      <c r="F44" s="223">
        <f t="shared" si="43"/>
        <v>0.66666666666666663</v>
      </c>
      <c r="G44" s="223">
        <f t="shared" si="43"/>
        <v>0.66666666666666663</v>
      </c>
      <c r="H44" s="223">
        <f t="shared" si="43"/>
        <v>0.66666666666666663</v>
      </c>
      <c r="I44" s="223">
        <f t="shared" si="43"/>
        <v>0.66666666666666663</v>
      </c>
      <c r="J44" s="223">
        <f t="shared" si="43"/>
        <v>0.66666666666666663</v>
      </c>
    </row>
    <row r="45" spans="1:10" ht="14.25">
      <c r="A45" t="s">
        <v>372</v>
      </c>
      <c r="B45" s="223">
        <f t="shared" ref="B45" si="44">B47+B33/2</f>
        <v>21.35</v>
      </c>
      <c r="C45" s="223">
        <f t="shared" ref="C45:J45" si="45">C47+C33/2</f>
        <v>21.35</v>
      </c>
      <c r="D45" s="223">
        <f t="shared" si="45"/>
        <v>21.35</v>
      </c>
      <c r="E45" s="223">
        <f t="shared" si="45"/>
        <v>21.35</v>
      </c>
      <c r="F45" s="223">
        <f t="shared" si="45"/>
        <v>21.35</v>
      </c>
      <c r="G45" s="223">
        <f t="shared" si="45"/>
        <v>21.35</v>
      </c>
      <c r="H45" s="223">
        <f t="shared" si="45"/>
        <v>21.35</v>
      </c>
      <c r="I45" s="223">
        <f t="shared" si="45"/>
        <v>21.35</v>
      </c>
      <c r="J45" s="223">
        <f t="shared" si="45"/>
        <v>21.35</v>
      </c>
    </row>
    <row r="46" spans="1:10" ht="14.25">
      <c r="A46" t="s">
        <v>364</v>
      </c>
      <c r="B46" s="223">
        <f t="shared" ref="B46" si="46">B45/100</f>
        <v>0.21350000000000002</v>
      </c>
      <c r="C46" s="223">
        <f t="shared" ref="C46:J46" si="47">C45/100</f>
        <v>0.21350000000000002</v>
      </c>
      <c r="D46" s="223">
        <f t="shared" si="47"/>
        <v>0.21350000000000002</v>
      </c>
      <c r="E46" s="223">
        <f t="shared" si="47"/>
        <v>0.21350000000000002</v>
      </c>
      <c r="F46" s="223">
        <f t="shared" si="47"/>
        <v>0.21350000000000002</v>
      </c>
      <c r="G46" s="223">
        <f t="shared" si="47"/>
        <v>0.21350000000000002</v>
      </c>
      <c r="H46" s="223">
        <f t="shared" si="47"/>
        <v>0.21350000000000002</v>
      </c>
      <c r="I46" s="223">
        <f t="shared" si="47"/>
        <v>0.21350000000000002</v>
      </c>
      <c r="J46" s="223">
        <f t="shared" si="47"/>
        <v>0.21350000000000002</v>
      </c>
    </row>
    <row r="47" spans="1:10">
      <c r="A47" s="373" t="s">
        <v>373</v>
      </c>
      <c r="B47" s="223">
        <v>15</v>
      </c>
      <c r="C47" s="223">
        <v>15</v>
      </c>
      <c r="D47" s="223">
        <v>15</v>
      </c>
      <c r="E47" s="223">
        <v>15</v>
      </c>
      <c r="F47" s="223">
        <v>15</v>
      </c>
      <c r="G47" s="223">
        <v>15</v>
      </c>
      <c r="H47" s="223">
        <v>15</v>
      </c>
      <c r="I47" s="223">
        <v>15</v>
      </c>
      <c r="J47" s="223">
        <v>15</v>
      </c>
    </row>
    <row r="48" spans="1:10" ht="14.25">
      <c r="A48" t="s">
        <v>366</v>
      </c>
      <c r="B48" s="223">
        <f t="shared" ref="B48" si="48">B47/100</f>
        <v>0.15</v>
      </c>
      <c r="C48" s="223">
        <f t="shared" ref="C48:J48" si="49">C47/100</f>
        <v>0.15</v>
      </c>
      <c r="D48" s="223">
        <f t="shared" si="49"/>
        <v>0.15</v>
      </c>
      <c r="E48" s="223">
        <f t="shared" si="49"/>
        <v>0.15</v>
      </c>
      <c r="F48" s="223">
        <f t="shared" si="49"/>
        <v>0.15</v>
      </c>
      <c r="G48" s="223">
        <f t="shared" si="49"/>
        <v>0.15</v>
      </c>
      <c r="H48" s="223">
        <f t="shared" si="49"/>
        <v>0.15</v>
      </c>
      <c r="I48" s="223">
        <f t="shared" si="49"/>
        <v>0.15</v>
      </c>
      <c r="J48" s="223">
        <f t="shared" si="49"/>
        <v>0.15</v>
      </c>
    </row>
    <row r="49" spans="1:10" ht="14.25">
      <c r="A49" t="s">
        <v>374</v>
      </c>
      <c r="B49" s="223">
        <f>(B40+B36)*B46/2</f>
        <v>2.894704166666667E-2</v>
      </c>
      <c r="C49" s="223">
        <f t="shared" ref="C49:J49" si="50">(C40+C36)*C46/2</f>
        <v>2.894704166666667E-2</v>
      </c>
      <c r="D49" s="223">
        <f t="shared" si="50"/>
        <v>2.894704166666667E-2</v>
      </c>
      <c r="E49" s="223">
        <f t="shared" si="50"/>
        <v>2.894704166666667E-2</v>
      </c>
      <c r="F49" s="223">
        <f t="shared" si="50"/>
        <v>2.894704166666667E-2</v>
      </c>
      <c r="G49" s="223">
        <f t="shared" si="50"/>
        <v>2.894704166666667E-2</v>
      </c>
      <c r="H49" s="223">
        <f t="shared" si="50"/>
        <v>2.894704166666667E-2</v>
      </c>
      <c r="I49" s="223">
        <f t="shared" si="50"/>
        <v>2.894704166666667E-2</v>
      </c>
      <c r="J49" s="223">
        <f t="shared" si="50"/>
        <v>2.894704166666667E-2</v>
      </c>
    </row>
    <row r="50" spans="1:10" ht="14.25">
      <c r="A50" t="s">
        <v>375</v>
      </c>
      <c r="B50" s="223">
        <f t="shared" ref="B50" si="51">(B38+B40)*B48/2</f>
        <v>1.8749999999999999E-2</v>
      </c>
      <c r="C50" s="223">
        <f t="shared" ref="C50:J50" si="52">(C38+C40)*C48/2</f>
        <v>1.8749999999999999E-2</v>
      </c>
      <c r="D50" s="223">
        <f t="shared" si="52"/>
        <v>1.8749999999999999E-2</v>
      </c>
      <c r="E50" s="223">
        <f t="shared" si="52"/>
        <v>1.8749999999999999E-2</v>
      </c>
      <c r="F50" s="223">
        <f t="shared" si="52"/>
        <v>1.8749999999999999E-2</v>
      </c>
      <c r="G50" s="223">
        <f t="shared" si="52"/>
        <v>1.8749999999999999E-2</v>
      </c>
      <c r="H50" s="223">
        <f t="shared" si="52"/>
        <v>1.8749999999999999E-2</v>
      </c>
      <c r="I50" s="223">
        <f t="shared" si="52"/>
        <v>1.8749999999999999E-2</v>
      </c>
      <c r="J50" s="223">
        <f t="shared" si="52"/>
        <v>1.8749999999999999E-2</v>
      </c>
    </row>
    <row r="51" spans="1:10" ht="14.25">
      <c r="A51" t="s">
        <v>376</v>
      </c>
      <c r="B51" s="295">
        <f>((B46+B46)^2)/(B49+B49)</f>
        <v>3.1493546404425325</v>
      </c>
      <c r="C51" s="295">
        <f t="shared" ref="C51:J51" si="53">((C46+C46)^2)/(C49+C49)</f>
        <v>3.1493546404425325</v>
      </c>
      <c r="D51" s="295">
        <f t="shared" si="53"/>
        <v>3.1493546404425325</v>
      </c>
      <c r="E51" s="295">
        <f t="shared" si="53"/>
        <v>3.1493546404425325</v>
      </c>
      <c r="F51" s="295">
        <f t="shared" si="53"/>
        <v>3.1493546404425325</v>
      </c>
      <c r="G51" s="295">
        <f t="shared" si="53"/>
        <v>3.1493546404425325</v>
      </c>
      <c r="H51" s="295">
        <f t="shared" si="53"/>
        <v>3.1493546404425325</v>
      </c>
      <c r="I51" s="295">
        <f t="shared" si="53"/>
        <v>3.1493546404425325</v>
      </c>
      <c r="J51" s="295">
        <f t="shared" si="53"/>
        <v>3.1493546404425325</v>
      </c>
    </row>
    <row r="52" spans="1:10" thickBot="1">
      <c r="B52" s="295"/>
      <c r="C52" s="295"/>
      <c r="D52" s="295"/>
      <c r="E52" s="295"/>
      <c r="F52" s="295"/>
      <c r="G52" s="295"/>
      <c r="H52" s="295"/>
      <c r="I52" s="295"/>
      <c r="J52" s="295"/>
    </row>
    <row r="53" spans="1:10" ht="15.75" thickBot="1">
      <c r="A53" s="371" t="s">
        <v>377</v>
      </c>
      <c r="B53" s="295"/>
      <c r="C53" s="295"/>
      <c r="D53" s="295"/>
      <c r="E53" s="295"/>
      <c r="F53" s="295"/>
      <c r="G53" s="295"/>
      <c r="H53" s="295"/>
      <c r="I53" s="295"/>
      <c r="J53" s="295"/>
    </row>
    <row r="54" spans="1:10" ht="14.25">
      <c r="A54" t="s">
        <v>378</v>
      </c>
      <c r="B54" s="295">
        <f t="shared" ref="B54" si="54">B48/(10+1)</f>
        <v>1.3636363636363636E-2</v>
      </c>
      <c r="C54" s="295">
        <f t="shared" ref="C54:J54" si="55">C48/(10+1)</f>
        <v>1.3636363636363636E-2</v>
      </c>
      <c r="D54" s="295">
        <f t="shared" si="55"/>
        <v>1.3636363636363636E-2</v>
      </c>
      <c r="E54" s="295">
        <f t="shared" si="55"/>
        <v>1.3636363636363636E-2</v>
      </c>
      <c r="F54" s="295">
        <f t="shared" si="55"/>
        <v>1.3636363636363636E-2</v>
      </c>
      <c r="G54" s="295">
        <f t="shared" si="55"/>
        <v>1.3636363636363636E-2</v>
      </c>
      <c r="H54" s="295">
        <f t="shared" si="55"/>
        <v>1.3636363636363636E-2</v>
      </c>
      <c r="I54" s="295">
        <f t="shared" si="55"/>
        <v>1.3636363636363636E-2</v>
      </c>
      <c r="J54" s="295">
        <f t="shared" si="55"/>
        <v>1.3636363636363636E-2</v>
      </c>
    </row>
    <row r="55" spans="1:10" ht="14.25">
      <c r="A55" t="s">
        <v>379</v>
      </c>
      <c r="B55" s="295">
        <f t="shared" ref="B55" si="56">(B37-B39)/(-B47)</f>
        <v>-0.33333333333333331</v>
      </c>
      <c r="C55" s="295">
        <f t="shared" ref="C55:J55" si="57">(C37-C39)/(-C47)</f>
        <v>-0.33333333333333331</v>
      </c>
      <c r="D55" s="295">
        <f t="shared" si="57"/>
        <v>-0.33333333333333331</v>
      </c>
      <c r="E55" s="295">
        <f t="shared" si="57"/>
        <v>-0.33333333333333331</v>
      </c>
      <c r="F55" s="295">
        <f t="shared" si="57"/>
        <v>-0.33333333333333331</v>
      </c>
      <c r="G55" s="295">
        <f t="shared" si="57"/>
        <v>-0.33333333333333331</v>
      </c>
      <c r="H55" s="295">
        <f t="shared" si="57"/>
        <v>-0.33333333333333331</v>
      </c>
      <c r="I55" s="295">
        <f t="shared" si="57"/>
        <v>-0.33333333333333331</v>
      </c>
      <c r="J55" s="295">
        <f t="shared" si="57"/>
        <v>-0.33333333333333331</v>
      </c>
    </row>
    <row r="56" spans="1:10" ht="14.25">
      <c r="A56" t="s">
        <v>380</v>
      </c>
      <c r="B56" s="295"/>
      <c r="C56" s="295"/>
      <c r="D56" s="295"/>
      <c r="E56" s="295"/>
      <c r="F56" s="295"/>
      <c r="G56" s="295"/>
      <c r="H56" s="295"/>
      <c r="I56" s="295"/>
      <c r="J56" s="295"/>
    </row>
    <row r="57" spans="1:10" ht="14.25" hidden="1" outlineLevel="1">
      <c r="A57">
        <v>1</v>
      </c>
      <c r="B57" s="295">
        <f>(B54/2)</f>
        <v>6.8181818181818179E-3</v>
      </c>
      <c r="C57" s="295">
        <f t="shared" ref="C57:J57" si="58">(C54/2)</f>
        <v>6.8181818181818179E-3</v>
      </c>
      <c r="D57" s="295">
        <f t="shared" si="58"/>
        <v>6.8181818181818179E-3</v>
      </c>
      <c r="E57" s="295">
        <f t="shared" si="58"/>
        <v>6.8181818181818179E-3</v>
      </c>
      <c r="F57" s="295">
        <f t="shared" si="58"/>
        <v>6.8181818181818179E-3</v>
      </c>
      <c r="G57" s="295">
        <f t="shared" si="58"/>
        <v>6.8181818181818179E-3</v>
      </c>
      <c r="H57" s="295">
        <f t="shared" si="58"/>
        <v>6.8181818181818179E-3</v>
      </c>
      <c r="I57" s="295">
        <f t="shared" si="58"/>
        <v>6.8181818181818179E-3</v>
      </c>
      <c r="J57" s="295">
        <f t="shared" si="58"/>
        <v>6.8181818181818179E-3</v>
      </c>
    </row>
    <row r="58" spans="1:10" ht="14.25" hidden="1" outlineLevel="1">
      <c r="A58">
        <v>2</v>
      </c>
      <c r="B58" s="295">
        <f>B57+B54</f>
        <v>2.0454545454545454E-2</v>
      </c>
      <c r="C58" s="295">
        <f t="shared" ref="C58:J58" si="59">C57+C54</f>
        <v>2.0454545454545454E-2</v>
      </c>
      <c r="D58" s="295">
        <f t="shared" si="59"/>
        <v>2.0454545454545454E-2</v>
      </c>
      <c r="E58" s="295">
        <f t="shared" si="59"/>
        <v>2.0454545454545454E-2</v>
      </c>
      <c r="F58" s="295">
        <f t="shared" si="59"/>
        <v>2.0454545454545454E-2</v>
      </c>
      <c r="G58" s="295">
        <f t="shared" si="59"/>
        <v>2.0454545454545454E-2</v>
      </c>
      <c r="H58" s="295">
        <f t="shared" si="59"/>
        <v>2.0454545454545454E-2</v>
      </c>
      <c r="I58" s="295">
        <f t="shared" si="59"/>
        <v>2.0454545454545454E-2</v>
      </c>
      <c r="J58" s="295">
        <f t="shared" si="59"/>
        <v>2.0454545454545454E-2</v>
      </c>
    </row>
    <row r="59" spans="1:10" ht="14.25" hidden="1" outlineLevel="1">
      <c r="A59">
        <v>3</v>
      </c>
      <c r="B59" s="295">
        <f t="shared" ref="B59" si="60">B58+B$54</f>
        <v>3.4090909090909088E-2</v>
      </c>
      <c r="C59" s="295">
        <f t="shared" ref="C59:J59" si="61">C58+C$54</f>
        <v>3.4090909090909088E-2</v>
      </c>
      <c r="D59" s="295">
        <f t="shared" si="61"/>
        <v>3.4090909090909088E-2</v>
      </c>
      <c r="E59" s="295">
        <f t="shared" si="61"/>
        <v>3.4090909090909088E-2</v>
      </c>
      <c r="F59" s="295">
        <f t="shared" si="61"/>
        <v>3.4090909090909088E-2</v>
      </c>
      <c r="G59" s="295">
        <f t="shared" si="61"/>
        <v>3.4090909090909088E-2</v>
      </c>
      <c r="H59" s="295">
        <f t="shared" si="61"/>
        <v>3.4090909090909088E-2</v>
      </c>
      <c r="I59" s="295">
        <f t="shared" si="61"/>
        <v>3.4090909090909088E-2</v>
      </c>
      <c r="J59" s="295">
        <f t="shared" si="61"/>
        <v>3.4090909090909088E-2</v>
      </c>
    </row>
    <row r="60" spans="1:10" ht="14.25" hidden="1" outlineLevel="1">
      <c r="A60">
        <v>4</v>
      </c>
      <c r="B60" s="295">
        <f t="shared" ref="B60:B67" si="62">B59+B$54</f>
        <v>4.7727272727272722E-2</v>
      </c>
      <c r="C60" s="295">
        <f t="shared" ref="C60:J60" si="63">C59+C$54</f>
        <v>4.7727272727272722E-2</v>
      </c>
      <c r="D60" s="295">
        <f t="shared" si="63"/>
        <v>4.7727272727272722E-2</v>
      </c>
      <c r="E60" s="295">
        <f t="shared" si="63"/>
        <v>4.7727272727272722E-2</v>
      </c>
      <c r="F60" s="295">
        <f t="shared" si="63"/>
        <v>4.7727272727272722E-2</v>
      </c>
      <c r="G60" s="295">
        <f t="shared" si="63"/>
        <v>4.7727272727272722E-2</v>
      </c>
      <c r="H60" s="295">
        <f t="shared" si="63"/>
        <v>4.7727272727272722E-2</v>
      </c>
      <c r="I60" s="295">
        <f t="shared" si="63"/>
        <v>4.7727272727272722E-2</v>
      </c>
      <c r="J60" s="295">
        <f t="shared" si="63"/>
        <v>4.7727272727272722E-2</v>
      </c>
    </row>
    <row r="61" spans="1:10" ht="14.25" hidden="1" outlineLevel="1">
      <c r="A61">
        <v>5</v>
      </c>
      <c r="B61" s="295">
        <f t="shared" si="62"/>
        <v>6.1363636363636356E-2</v>
      </c>
      <c r="C61" s="295">
        <f t="shared" ref="C61:J61" si="64">C60+C$54</f>
        <v>6.1363636363636356E-2</v>
      </c>
      <c r="D61" s="295">
        <f t="shared" si="64"/>
        <v>6.1363636363636356E-2</v>
      </c>
      <c r="E61" s="295">
        <f t="shared" si="64"/>
        <v>6.1363636363636356E-2</v>
      </c>
      <c r="F61" s="295">
        <f t="shared" si="64"/>
        <v>6.1363636363636356E-2</v>
      </c>
      <c r="G61" s="295">
        <f t="shared" si="64"/>
        <v>6.1363636363636356E-2</v>
      </c>
      <c r="H61" s="295">
        <f t="shared" si="64"/>
        <v>6.1363636363636356E-2</v>
      </c>
      <c r="I61" s="295">
        <f t="shared" si="64"/>
        <v>6.1363636363636356E-2</v>
      </c>
      <c r="J61" s="295">
        <f t="shared" si="64"/>
        <v>6.1363636363636356E-2</v>
      </c>
    </row>
    <row r="62" spans="1:10" ht="14.25" hidden="1" outlineLevel="1">
      <c r="A62">
        <v>6</v>
      </c>
      <c r="B62" s="295">
        <f t="shared" si="62"/>
        <v>7.4999999999999997E-2</v>
      </c>
      <c r="C62" s="295">
        <f t="shared" ref="C62:J62" si="65">C61+C$54</f>
        <v>7.4999999999999997E-2</v>
      </c>
      <c r="D62" s="295">
        <f t="shared" si="65"/>
        <v>7.4999999999999997E-2</v>
      </c>
      <c r="E62" s="295">
        <f t="shared" si="65"/>
        <v>7.4999999999999997E-2</v>
      </c>
      <c r="F62" s="295">
        <f t="shared" si="65"/>
        <v>7.4999999999999997E-2</v>
      </c>
      <c r="G62" s="295">
        <f t="shared" si="65"/>
        <v>7.4999999999999997E-2</v>
      </c>
      <c r="H62" s="295">
        <f t="shared" si="65"/>
        <v>7.4999999999999997E-2</v>
      </c>
      <c r="I62" s="295">
        <f t="shared" si="65"/>
        <v>7.4999999999999997E-2</v>
      </c>
      <c r="J62" s="295">
        <f t="shared" si="65"/>
        <v>7.4999999999999997E-2</v>
      </c>
    </row>
    <row r="63" spans="1:10" ht="14.25" hidden="1" outlineLevel="1">
      <c r="A63">
        <v>7</v>
      </c>
      <c r="B63" s="295">
        <f t="shared" si="62"/>
        <v>8.8636363636363638E-2</v>
      </c>
      <c r="C63" s="295">
        <f t="shared" ref="C63:J63" si="66">C62+C$54</f>
        <v>8.8636363636363638E-2</v>
      </c>
      <c r="D63" s="295">
        <f t="shared" si="66"/>
        <v>8.8636363636363638E-2</v>
      </c>
      <c r="E63" s="295">
        <f t="shared" si="66"/>
        <v>8.8636363636363638E-2</v>
      </c>
      <c r="F63" s="295">
        <f t="shared" si="66"/>
        <v>8.8636363636363638E-2</v>
      </c>
      <c r="G63" s="295">
        <f t="shared" si="66"/>
        <v>8.8636363636363638E-2</v>
      </c>
      <c r="H63" s="295">
        <f t="shared" si="66"/>
        <v>8.8636363636363638E-2</v>
      </c>
      <c r="I63" s="295">
        <f t="shared" si="66"/>
        <v>8.8636363636363638E-2</v>
      </c>
      <c r="J63" s="295">
        <f t="shared" si="66"/>
        <v>8.8636363636363638E-2</v>
      </c>
    </row>
    <row r="64" spans="1:10" ht="14.25" hidden="1" outlineLevel="1">
      <c r="A64">
        <v>8</v>
      </c>
      <c r="B64" s="295">
        <f t="shared" si="62"/>
        <v>0.10227272727272728</v>
      </c>
      <c r="C64" s="295">
        <f t="shared" ref="C64:J64" si="67">C63+C$54</f>
        <v>0.10227272727272728</v>
      </c>
      <c r="D64" s="295">
        <f t="shared" si="67"/>
        <v>0.10227272727272728</v>
      </c>
      <c r="E64" s="295">
        <f t="shared" si="67"/>
        <v>0.10227272727272728</v>
      </c>
      <c r="F64" s="295">
        <f t="shared" si="67"/>
        <v>0.10227272727272728</v>
      </c>
      <c r="G64" s="295">
        <f t="shared" si="67"/>
        <v>0.10227272727272728</v>
      </c>
      <c r="H64" s="295">
        <f t="shared" si="67"/>
        <v>0.10227272727272728</v>
      </c>
      <c r="I64" s="295">
        <f t="shared" si="67"/>
        <v>0.10227272727272728</v>
      </c>
      <c r="J64" s="295">
        <f t="shared" si="67"/>
        <v>0.10227272727272728</v>
      </c>
    </row>
    <row r="65" spans="1:10" ht="14.25" hidden="1" outlineLevel="1">
      <c r="A65">
        <v>9</v>
      </c>
      <c r="B65" s="295">
        <f t="shared" si="62"/>
        <v>0.11590909090909092</v>
      </c>
      <c r="C65" s="295">
        <f t="shared" ref="C65:J65" si="68">C64+C$54</f>
        <v>0.11590909090909092</v>
      </c>
      <c r="D65" s="295">
        <f t="shared" si="68"/>
        <v>0.11590909090909092</v>
      </c>
      <c r="E65" s="295">
        <f t="shared" si="68"/>
        <v>0.11590909090909092</v>
      </c>
      <c r="F65" s="295">
        <f t="shared" si="68"/>
        <v>0.11590909090909092</v>
      </c>
      <c r="G65" s="295">
        <f t="shared" si="68"/>
        <v>0.11590909090909092</v>
      </c>
      <c r="H65" s="295">
        <f t="shared" si="68"/>
        <v>0.11590909090909092</v>
      </c>
      <c r="I65" s="295">
        <f t="shared" si="68"/>
        <v>0.11590909090909092</v>
      </c>
      <c r="J65" s="295">
        <f t="shared" si="68"/>
        <v>0.11590909090909092</v>
      </c>
    </row>
    <row r="66" spans="1:10" ht="14.25" hidden="1" outlineLevel="1">
      <c r="A66">
        <v>10</v>
      </c>
      <c r="B66" s="295">
        <f t="shared" si="62"/>
        <v>0.12954545454545455</v>
      </c>
      <c r="C66" s="295">
        <f t="shared" ref="C66:J66" si="69">C65+C$54</f>
        <v>0.12954545454545455</v>
      </c>
      <c r="D66" s="295">
        <f t="shared" si="69"/>
        <v>0.12954545454545455</v>
      </c>
      <c r="E66" s="295">
        <f t="shared" si="69"/>
        <v>0.12954545454545455</v>
      </c>
      <c r="F66" s="295">
        <f t="shared" si="69"/>
        <v>0.12954545454545455</v>
      </c>
      <c r="G66" s="295">
        <f t="shared" si="69"/>
        <v>0.12954545454545455</v>
      </c>
      <c r="H66" s="295">
        <f t="shared" si="69"/>
        <v>0.12954545454545455</v>
      </c>
      <c r="I66" s="295">
        <f t="shared" si="69"/>
        <v>0.12954545454545455</v>
      </c>
      <c r="J66" s="295">
        <f t="shared" si="69"/>
        <v>0.12954545454545455</v>
      </c>
    </row>
    <row r="67" spans="1:10" ht="14.25" hidden="1" outlineLevel="1">
      <c r="A67">
        <v>11</v>
      </c>
      <c r="B67" s="295">
        <f t="shared" si="62"/>
        <v>0.14318181818181819</v>
      </c>
      <c r="C67" s="295">
        <f t="shared" ref="C67:J67" si="70">C66+C$54</f>
        <v>0.14318181818181819</v>
      </c>
      <c r="D67" s="295">
        <f t="shared" si="70"/>
        <v>0.14318181818181819</v>
      </c>
      <c r="E67" s="295">
        <f t="shared" si="70"/>
        <v>0.14318181818181819</v>
      </c>
      <c r="F67" s="295">
        <f t="shared" si="70"/>
        <v>0.14318181818181819</v>
      </c>
      <c r="G67" s="295">
        <f t="shared" si="70"/>
        <v>0.14318181818181819</v>
      </c>
      <c r="H67" s="295">
        <f t="shared" si="70"/>
        <v>0.14318181818181819</v>
      </c>
      <c r="I67" s="295">
        <f t="shared" si="70"/>
        <v>0.14318181818181819</v>
      </c>
      <c r="J67" s="295">
        <f t="shared" si="70"/>
        <v>0.14318181818181819</v>
      </c>
    </row>
    <row r="68" spans="1:10" ht="14.25" collapsed="1">
      <c r="A68" t="s">
        <v>381</v>
      </c>
      <c r="B68" s="295"/>
      <c r="C68" s="295"/>
      <c r="D68" s="295"/>
      <c r="E68" s="295"/>
      <c r="F68" s="295"/>
      <c r="G68" s="295"/>
      <c r="H68" s="295"/>
      <c r="I68" s="295"/>
      <c r="J68" s="295"/>
    </row>
    <row r="69" spans="1:10" ht="14.25" hidden="1" outlineLevel="1">
      <c r="A69">
        <v>1</v>
      </c>
      <c r="B69" s="295">
        <f t="shared" ref="B69" si="71">(B57*B$55)+B$38</f>
        <v>0.14772727272727273</v>
      </c>
      <c r="C69" s="295">
        <f t="shared" ref="C69:J69" si="72">(C57*C$55)+C$38</f>
        <v>0.14772727272727273</v>
      </c>
      <c r="D69" s="295">
        <f t="shared" si="72"/>
        <v>0.14772727272727273</v>
      </c>
      <c r="E69" s="295">
        <f t="shared" si="72"/>
        <v>0.14772727272727273</v>
      </c>
      <c r="F69" s="295">
        <f t="shared" si="72"/>
        <v>0.14772727272727273</v>
      </c>
      <c r="G69" s="295">
        <f t="shared" si="72"/>
        <v>0.14772727272727273</v>
      </c>
      <c r="H69" s="295">
        <f t="shared" si="72"/>
        <v>0.14772727272727273</v>
      </c>
      <c r="I69" s="295">
        <f t="shared" si="72"/>
        <v>0.14772727272727273</v>
      </c>
      <c r="J69" s="295">
        <f t="shared" si="72"/>
        <v>0.14772727272727273</v>
      </c>
    </row>
    <row r="70" spans="1:10" ht="14.25" hidden="1" outlineLevel="1">
      <c r="A70">
        <v>2</v>
      </c>
      <c r="B70" s="295">
        <f t="shared" ref="B70" si="73">(B58*B$55)+B$38</f>
        <v>0.14318181818181819</v>
      </c>
      <c r="C70" s="295">
        <f t="shared" ref="C70:J70" si="74">(C58*C$55)+C$38</f>
        <v>0.14318181818181819</v>
      </c>
      <c r="D70" s="295">
        <f t="shared" si="74"/>
        <v>0.14318181818181819</v>
      </c>
      <c r="E70" s="295">
        <f t="shared" si="74"/>
        <v>0.14318181818181819</v>
      </c>
      <c r="F70" s="295">
        <f t="shared" si="74"/>
        <v>0.14318181818181819</v>
      </c>
      <c r="G70" s="295">
        <f t="shared" si="74"/>
        <v>0.14318181818181819</v>
      </c>
      <c r="H70" s="295">
        <f t="shared" si="74"/>
        <v>0.14318181818181819</v>
      </c>
      <c r="I70" s="295">
        <f t="shared" si="74"/>
        <v>0.14318181818181819</v>
      </c>
      <c r="J70" s="295">
        <f t="shared" si="74"/>
        <v>0.14318181818181819</v>
      </c>
    </row>
    <row r="71" spans="1:10" ht="14.25" hidden="1" outlineLevel="1">
      <c r="A71">
        <v>3</v>
      </c>
      <c r="B71" s="295">
        <f t="shared" ref="B71" si="75">(B59*B$55)+B$38</f>
        <v>0.13863636363636364</v>
      </c>
      <c r="C71" s="295">
        <f t="shared" ref="C71:J71" si="76">(C59*C$55)+C$38</f>
        <v>0.13863636363636364</v>
      </c>
      <c r="D71" s="295">
        <f t="shared" si="76"/>
        <v>0.13863636363636364</v>
      </c>
      <c r="E71" s="295">
        <f t="shared" si="76"/>
        <v>0.13863636363636364</v>
      </c>
      <c r="F71" s="295">
        <f t="shared" si="76"/>
        <v>0.13863636363636364</v>
      </c>
      <c r="G71" s="295">
        <f t="shared" si="76"/>
        <v>0.13863636363636364</v>
      </c>
      <c r="H71" s="295">
        <f t="shared" si="76"/>
        <v>0.13863636363636364</v>
      </c>
      <c r="I71" s="295">
        <f t="shared" si="76"/>
        <v>0.13863636363636364</v>
      </c>
      <c r="J71" s="295">
        <f t="shared" si="76"/>
        <v>0.13863636363636364</v>
      </c>
    </row>
    <row r="72" spans="1:10" ht="14.25" hidden="1" outlineLevel="1">
      <c r="A72">
        <v>4</v>
      </c>
      <c r="B72" s="295">
        <f t="shared" ref="B72" si="77">(B60*B$55)+B$38</f>
        <v>0.13409090909090909</v>
      </c>
      <c r="C72" s="295">
        <f t="shared" ref="C72:J72" si="78">(C60*C$55)+C$38</f>
        <v>0.13409090909090909</v>
      </c>
      <c r="D72" s="295">
        <f t="shared" si="78"/>
        <v>0.13409090909090909</v>
      </c>
      <c r="E72" s="295">
        <f t="shared" si="78"/>
        <v>0.13409090909090909</v>
      </c>
      <c r="F72" s="295">
        <f t="shared" si="78"/>
        <v>0.13409090909090909</v>
      </c>
      <c r="G72" s="295">
        <f t="shared" si="78"/>
        <v>0.13409090909090909</v>
      </c>
      <c r="H72" s="295">
        <f t="shared" si="78"/>
        <v>0.13409090909090909</v>
      </c>
      <c r="I72" s="295">
        <f t="shared" si="78"/>
        <v>0.13409090909090909</v>
      </c>
      <c r="J72" s="295">
        <f t="shared" si="78"/>
        <v>0.13409090909090909</v>
      </c>
    </row>
    <row r="73" spans="1:10" ht="14.25" hidden="1" outlineLevel="1">
      <c r="A73">
        <v>5</v>
      </c>
      <c r="B73" s="295">
        <f t="shared" ref="B73" si="79">(B61*B$55)+B$38</f>
        <v>0.12954545454545455</v>
      </c>
      <c r="C73" s="295">
        <f t="shared" ref="C73:J73" si="80">(C61*C$55)+C$38</f>
        <v>0.12954545454545455</v>
      </c>
      <c r="D73" s="295">
        <f t="shared" si="80"/>
        <v>0.12954545454545455</v>
      </c>
      <c r="E73" s="295">
        <f t="shared" si="80"/>
        <v>0.12954545454545455</v>
      </c>
      <c r="F73" s="295">
        <f t="shared" si="80"/>
        <v>0.12954545454545455</v>
      </c>
      <c r="G73" s="295">
        <f t="shared" si="80"/>
        <v>0.12954545454545455</v>
      </c>
      <c r="H73" s="295">
        <f t="shared" si="80"/>
        <v>0.12954545454545455</v>
      </c>
      <c r="I73" s="295">
        <f t="shared" si="80"/>
        <v>0.12954545454545455</v>
      </c>
      <c r="J73" s="295">
        <f t="shared" si="80"/>
        <v>0.12954545454545455</v>
      </c>
    </row>
    <row r="74" spans="1:10" ht="14.25" hidden="1" outlineLevel="1">
      <c r="A74">
        <v>6</v>
      </c>
      <c r="B74" s="295">
        <f t="shared" ref="B74" si="81">(B62*B$55)+B$38</f>
        <v>0.125</v>
      </c>
      <c r="C74" s="295">
        <f t="shared" ref="C74:J74" si="82">(C62*C$55)+C$38</f>
        <v>0.125</v>
      </c>
      <c r="D74" s="295">
        <f t="shared" si="82"/>
        <v>0.125</v>
      </c>
      <c r="E74" s="295">
        <f t="shared" si="82"/>
        <v>0.125</v>
      </c>
      <c r="F74" s="295">
        <f t="shared" si="82"/>
        <v>0.125</v>
      </c>
      <c r="G74" s="295">
        <f t="shared" si="82"/>
        <v>0.125</v>
      </c>
      <c r="H74" s="295">
        <f t="shared" si="82"/>
        <v>0.125</v>
      </c>
      <c r="I74" s="295">
        <f t="shared" si="82"/>
        <v>0.125</v>
      </c>
      <c r="J74" s="295">
        <f t="shared" si="82"/>
        <v>0.125</v>
      </c>
    </row>
    <row r="75" spans="1:10" ht="14.25" hidden="1" outlineLevel="1">
      <c r="A75">
        <v>7</v>
      </c>
      <c r="B75" s="295">
        <f t="shared" ref="B75" si="83">(B63*B$55)+B$38</f>
        <v>0.12045454545454545</v>
      </c>
      <c r="C75" s="295">
        <f t="shared" ref="C75:J75" si="84">(C63*C$55)+C$38</f>
        <v>0.12045454545454545</v>
      </c>
      <c r="D75" s="295">
        <f t="shared" si="84"/>
        <v>0.12045454545454545</v>
      </c>
      <c r="E75" s="295">
        <f t="shared" si="84"/>
        <v>0.12045454545454545</v>
      </c>
      <c r="F75" s="295">
        <f t="shared" si="84"/>
        <v>0.12045454545454545</v>
      </c>
      <c r="G75" s="295">
        <f t="shared" si="84"/>
        <v>0.12045454545454545</v>
      </c>
      <c r="H75" s="295">
        <f t="shared" si="84"/>
        <v>0.12045454545454545</v>
      </c>
      <c r="I75" s="295">
        <f t="shared" si="84"/>
        <v>0.12045454545454545</v>
      </c>
      <c r="J75" s="295">
        <f t="shared" si="84"/>
        <v>0.12045454545454545</v>
      </c>
    </row>
    <row r="76" spans="1:10" ht="14.25" hidden="1" outlineLevel="1">
      <c r="A76">
        <v>8</v>
      </c>
      <c r="B76" s="295">
        <f t="shared" ref="B76" si="85">(B64*B$55)+B$38</f>
        <v>0.11590909090909091</v>
      </c>
      <c r="C76" s="295">
        <f t="shared" ref="C76:J76" si="86">(C64*C$55)+C$38</f>
        <v>0.11590909090909091</v>
      </c>
      <c r="D76" s="295">
        <f t="shared" si="86"/>
        <v>0.11590909090909091</v>
      </c>
      <c r="E76" s="295">
        <f t="shared" si="86"/>
        <v>0.11590909090909091</v>
      </c>
      <c r="F76" s="295">
        <f t="shared" si="86"/>
        <v>0.11590909090909091</v>
      </c>
      <c r="G76" s="295">
        <f t="shared" si="86"/>
        <v>0.11590909090909091</v>
      </c>
      <c r="H76" s="295">
        <f t="shared" si="86"/>
        <v>0.11590909090909091</v>
      </c>
      <c r="I76" s="295">
        <f t="shared" si="86"/>
        <v>0.11590909090909091</v>
      </c>
      <c r="J76" s="295">
        <f t="shared" si="86"/>
        <v>0.11590909090909091</v>
      </c>
    </row>
    <row r="77" spans="1:10" ht="14.25" hidden="1" outlineLevel="1">
      <c r="A77">
        <v>9</v>
      </c>
      <c r="B77" s="295">
        <f t="shared" ref="B77" si="87">(B65*B$55)+B$38</f>
        <v>0.11136363636363636</v>
      </c>
      <c r="C77" s="295">
        <f t="shared" ref="C77:J77" si="88">(C65*C$55)+C$38</f>
        <v>0.11136363636363636</v>
      </c>
      <c r="D77" s="295">
        <f t="shared" si="88"/>
        <v>0.11136363636363636</v>
      </c>
      <c r="E77" s="295">
        <f t="shared" si="88"/>
        <v>0.11136363636363636</v>
      </c>
      <c r="F77" s="295">
        <f t="shared" si="88"/>
        <v>0.11136363636363636</v>
      </c>
      <c r="G77" s="295">
        <f t="shared" si="88"/>
        <v>0.11136363636363636</v>
      </c>
      <c r="H77" s="295">
        <f t="shared" si="88"/>
        <v>0.11136363636363636</v>
      </c>
      <c r="I77" s="295">
        <f t="shared" si="88"/>
        <v>0.11136363636363636</v>
      </c>
      <c r="J77" s="295">
        <f t="shared" si="88"/>
        <v>0.11136363636363636</v>
      </c>
    </row>
    <row r="78" spans="1:10" ht="14.25" hidden="1" outlineLevel="1">
      <c r="A78">
        <v>10</v>
      </c>
      <c r="B78" s="295">
        <f t="shared" ref="B78" si="89">(B66*B$55)+B$38</f>
        <v>0.10681818181818181</v>
      </c>
      <c r="C78" s="295">
        <f t="shared" ref="C78:J78" si="90">(C66*C$55)+C$38</f>
        <v>0.10681818181818181</v>
      </c>
      <c r="D78" s="295">
        <f t="shared" si="90"/>
        <v>0.10681818181818181</v>
      </c>
      <c r="E78" s="295">
        <f t="shared" si="90"/>
        <v>0.10681818181818181</v>
      </c>
      <c r="F78" s="295">
        <f t="shared" si="90"/>
        <v>0.10681818181818181</v>
      </c>
      <c r="G78" s="295">
        <f t="shared" si="90"/>
        <v>0.10681818181818181</v>
      </c>
      <c r="H78" s="295">
        <f t="shared" si="90"/>
        <v>0.10681818181818181</v>
      </c>
      <c r="I78" s="295">
        <f t="shared" si="90"/>
        <v>0.10681818181818181</v>
      </c>
      <c r="J78" s="295">
        <f t="shared" si="90"/>
        <v>0.10681818181818181</v>
      </c>
    </row>
    <row r="79" spans="1:10" ht="14.25" hidden="1" outlineLevel="1">
      <c r="A79">
        <v>11</v>
      </c>
      <c r="B79" s="295">
        <f t="shared" ref="B79" si="91">(B67*B$55)+B$38</f>
        <v>0.10227272727272727</v>
      </c>
      <c r="C79" s="295">
        <f t="shared" ref="C79:J79" si="92">(C67*C$55)+C$38</f>
        <v>0.10227272727272727</v>
      </c>
      <c r="D79" s="295">
        <f t="shared" si="92"/>
        <v>0.10227272727272727</v>
      </c>
      <c r="E79" s="295">
        <f t="shared" si="92"/>
        <v>0.10227272727272727</v>
      </c>
      <c r="F79" s="295">
        <f t="shared" si="92"/>
        <v>0.10227272727272727</v>
      </c>
      <c r="G79" s="295">
        <f t="shared" si="92"/>
        <v>0.10227272727272727</v>
      </c>
      <c r="H79" s="295">
        <f t="shared" si="92"/>
        <v>0.10227272727272727</v>
      </c>
      <c r="I79" s="295">
        <f t="shared" si="92"/>
        <v>0.10227272727272727</v>
      </c>
      <c r="J79" s="295">
        <f t="shared" si="92"/>
        <v>0.10227272727272727</v>
      </c>
    </row>
    <row r="80" spans="1:10" ht="14.25" collapsed="1">
      <c r="A80" t="s">
        <v>382</v>
      </c>
      <c r="B80" s="295"/>
      <c r="C80" s="295"/>
      <c r="D80" s="295"/>
      <c r="E80" s="295"/>
      <c r="F80" s="295"/>
      <c r="G80" s="295"/>
      <c r="H80" s="295"/>
      <c r="I80" s="295"/>
      <c r="J80" s="295"/>
    </row>
    <row r="81" spans="1:10" ht="14.25" outlineLevel="1">
      <c r="A81">
        <v>1</v>
      </c>
      <c r="B81" s="297">
        <f t="shared" ref="B81" si="93">(B69+B70)*B$54/2</f>
        <v>1.9834710743801649E-3</v>
      </c>
      <c r="C81" s="297">
        <f t="shared" ref="C81:J81" si="94">(C69+C70)*C$54/2</f>
        <v>1.9834710743801649E-3</v>
      </c>
      <c r="D81" s="297">
        <f t="shared" si="94"/>
        <v>1.9834710743801649E-3</v>
      </c>
      <c r="E81" s="297">
        <f t="shared" si="94"/>
        <v>1.9834710743801649E-3</v>
      </c>
      <c r="F81" s="297">
        <f t="shared" si="94"/>
        <v>1.9834710743801649E-3</v>
      </c>
      <c r="G81" s="297">
        <f t="shared" si="94"/>
        <v>1.9834710743801649E-3</v>
      </c>
      <c r="H81" s="297">
        <f t="shared" si="94"/>
        <v>1.9834710743801649E-3</v>
      </c>
      <c r="I81" s="297">
        <f t="shared" si="94"/>
        <v>1.9834710743801649E-3</v>
      </c>
      <c r="J81" s="297">
        <f t="shared" si="94"/>
        <v>1.9834710743801649E-3</v>
      </c>
    </row>
    <row r="82" spans="1:10" ht="14.25" outlineLevel="1">
      <c r="A82">
        <v>2</v>
      </c>
      <c r="B82" s="297">
        <f t="shared" ref="B82:B90" si="95">(B70+B71)*B$54/2</f>
        <v>1.9214876033057853E-3</v>
      </c>
      <c r="C82" s="297">
        <f t="shared" ref="C82:J82" si="96">(C70+C71)*C$54/2</f>
        <v>1.9214876033057853E-3</v>
      </c>
      <c r="D82" s="297">
        <f t="shared" si="96"/>
        <v>1.9214876033057853E-3</v>
      </c>
      <c r="E82" s="297">
        <f t="shared" si="96"/>
        <v>1.9214876033057853E-3</v>
      </c>
      <c r="F82" s="297">
        <f t="shared" si="96"/>
        <v>1.9214876033057853E-3</v>
      </c>
      <c r="G82" s="297">
        <f t="shared" si="96"/>
        <v>1.9214876033057853E-3</v>
      </c>
      <c r="H82" s="297">
        <f t="shared" si="96"/>
        <v>1.9214876033057853E-3</v>
      </c>
      <c r="I82" s="297">
        <f t="shared" si="96"/>
        <v>1.9214876033057853E-3</v>
      </c>
      <c r="J82" s="297">
        <f t="shared" si="96"/>
        <v>1.9214876033057853E-3</v>
      </c>
    </row>
    <row r="83" spans="1:10" ht="14.25" outlineLevel="1">
      <c r="A83">
        <v>3</v>
      </c>
      <c r="B83" s="297">
        <f t="shared" si="95"/>
        <v>1.8595041322314048E-3</v>
      </c>
      <c r="C83" s="297">
        <f t="shared" ref="C83:J83" si="97">(C71+C72)*C$54/2</f>
        <v>1.8595041322314048E-3</v>
      </c>
      <c r="D83" s="297">
        <f t="shared" si="97"/>
        <v>1.8595041322314048E-3</v>
      </c>
      <c r="E83" s="297">
        <f t="shared" si="97"/>
        <v>1.8595041322314048E-3</v>
      </c>
      <c r="F83" s="297">
        <f t="shared" si="97"/>
        <v>1.8595041322314048E-3</v>
      </c>
      <c r="G83" s="297">
        <f t="shared" si="97"/>
        <v>1.8595041322314048E-3</v>
      </c>
      <c r="H83" s="297">
        <f t="shared" si="97"/>
        <v>1.8595041322314048E-3</v>
      </c>
      <c r="I83" s="297">
        <f t="shared" si="97"/>
        <v>1.8595041322314048E-3</v>
      </c>
      <c r="J83" s="297">
        <f t="shared" si="97"/>
        <v>1.8595041322314048E-3</v>
      </c>
    </row>
    <row r="84" spans="1:10" ht="14.25" outlineLevel="1">
      <c r="A84">
        <v>4</v>
      </c>
      <c r="B84" s="297">
        <f t="shared" si="95"/>
        <v>1.7975206611570249E-3</v>
      </c>
      <c r="C84" s="297">
        <f t="shared" ref="C84:J84" si="98">(C72+C73)*C$54/2</f>
        <v>1.7975206611570249E-3</v>
      </c>
      <c r="D84" s="297">
        <f t="shared" si="98"/>
        <v>1.7975206611570249E-3</v>
      </c>
      <c r="E84" s="297">
        <f t="shared" si="98"/>
        <v>1.7975206611570249E-3</v>
      </c>
      <c r="F84" s="297">
        <f t="shared" si="98"/>
        <v>1.7975206611570249E-3</v>
      </c>
      <c r="G84" s="297">
        <f t="shared" si="98"/>
        <v>1.7975206611570249E-3</v>
      </c>
      <c r="H84" s="297">
        <f t="shared" si="98"/>
        <v>1.7975206611570249E-3</v>
      </c>
      <c r="I84" s="297">
        <f t="shared" si="98"/>
        <v>1.7975206611570249E-3</v>
      </c>
      <c r="J84" s="297">
        <f t="shared" si="98"/>
        <v>1.7975206611570249E-3</v>
      </c>
    </row>
    <row r="85" spans="1:10" ht="14.25" outlineLevel="1">
      <c r="A85">
        <v>5</v>
      </c>
      <c r="B85" s="297">
        <f t="shared" si="95"/>
        <v>1.7355371900826444E-3</v>
      </c>
      <c r="C85" s="297">
        <f t="shared" ref="C85:J85" si="99">(C73+C74)*C$54/2</f>
        <v>1.7355371900826444E-3</v>
      </c>
      <c r="D85" s="297">
        <f t="shared" si="99"/>
        <v>1.7355371900826444E-3</v>
      </c>
      <c r="E85" s="297">
        <f t="shared" si="99"/>
        <v>1.7355371900826444E-3</v>
      </c>
      <c r="F85" s="297">
        <f t="shared" si="99"/>
        <v>1.7355371900826444E-3</v>
      </c>
      <c r="G85" s="297">
        <f t="shared" si="99"/>
        <v>1.7355371900826444E-3</v>
      </c>
      <c r="H85" s="297">
        <f t="shared" si="99"/>
        <v>1.7355371900826444E-3</v>
      </c>
      <c r="I85" s="297">
        <f t="shared" si="99"/>
        <v>1.7355371900826444E-3</v>
      </c>
      <c r="J85" s="297">
        <f t="shared" si="99"/>
        <v>1.7355371900826444E-3</v>
      </c>
    </row>
    <row r="86" spans="1:10" ht="14.25" outlineLevel="1">
      <c r="A86">
        <v>6</v>
      </c>
      <c r="B86" s="297">
        <f t="shared" si="95"/>
        <v>1.6735537190082643E-3</v>
      </c>
      <c r="C86" s="297">
        <f t="shared" ref="C86:J86" si="100">(C74+C75)*C$54/2</f>
        <v>1.6735537190082643E-3</v>
      </c>
      <c r="D86" s="297">
        <f t="shared" si="100"/>
        <v>1.6735537190082643E-3</v>
      </c>
      <c r="E86" s="297">
        <f t="shared" si="100"/>
        <v>1.6735537190082643E-3</v>
      </c>
      <c r="F86" s="297">
        <f t="shared" si="100"/>
        <v>1.6735537190082643E-3</v>
      </c>
      <c r="G86" s="297">
        <f t="shared" si="100"/>
        <v>1.6735537190082643E-3</v>
      </c>
      <c r="H86" s="297">
        <f t="shared" si="100"/>
        <v>1.6735537190082643E-3</v>
      </c>
      <c r="I86" s="297">
        <f t="shared" si="100"/>
        <v>1.6735537190082643E-3</v>
      </c>
      <c r="J86" s="297">
        <f t="shared" si="100"/>
        <v>1.6735537190082643E-3</v>
      </c>
    </row>
    <row r="87" spans="1:10" ht="14.25" outlineLevel="1">
      <c r="A87">
        <v>7</v>
      </c>
      <c r="B87" s="297">
        <f t="shared" si="95"/>
        <v>1.6115702479338842E-3</v>
      </c>
      <c r="C87" s="297">
        <f t="shared" ref="C87:J87" si="101">(C75+C76)*C$54/2</f>
        <v>1.6115702479338842E-3</v>
      </c>
      <c r="D87" s="297">
        <f t="shared" si="101"/>
        <v>1.6115702479338842E-3</v>
      </c>
      <c r="E87" s="297">
        <f t="shared" si="101"/>
        <v>1.6115702479338842E-3</v>
      </c>
      <c r="F87" s="297">
        <f t="shared" si="101"/>
        <v>1.6115702479338842E-3</v>
      </c>
      <c r="G87" s="297">
        <f t="shared" si="101"/>
        <v>1.6115702479338842E-3</v>
      </c>
      <c r="H87" s="297">
        <f t="shared" si="101"/>
        <v>1.6115702479338842E-3</v>
      </c>
      <c r="I87" s="297">
        <f t="shared" si="101"/>
        <v>1.6115702479338842E-3</v>
      </c>
      <c r="J87" s="297">
        <f t="shared" si="101"/>
        <v>1.6115702479338842E-3</v>
      </c>
    </row>
    <row r="88" spans="1:10" ht="14.25" outlineLevel="1">
      <c r="A88">
        <v>8</v>
      </c>
      <c r="B88" s="297">
        <f t="shared" si="95"/>
        <v>1.549586776859504E-3</v>
      </c>
      <c r="C88" s="297">
        <f t="shared" ref="C88:J88" si="102">(C76+C77)*C$54/2</f>
        <v>1.549586776859504E-3</v>
      </c>
      <c r="D88" s="297">
        <f t="shared" si="102"/>
        <v>1.549586776859504E-3</v>
      </c>
      <c r="E88" s="297">
        <f t="shared" si="102"/>
        <v>1.549586776859504E-3</v>
      </c>
      <c r="F88" s="297">
        <f t="shared" si="102"/>
        <v>1.549586776859504E-3</v>
      </c>
      <c r="G88" s="297">
        <f t="shared" si="102"/>
        <v>1.549586776859504E-3</v>
      </c>
      <c r="H88" s="297">
        <f t="shared" si="102"/>
        <v>1.549586776859504E-3</v>
      </c>
      <c r="I88" s="297">
        <f t="shared" si="102"/>
        <v>1.549586776859504E-3</v>
      </c>
      <c r="J88" s="297">
        <f t="shared" si="102"/>
        <v>1.549586776859504E-3</v>
      </c>
    </row>
    <row r="89" spans="1:10" ht="14.25" outlineLevel="1">
      <c r="A89">
        <v>9</v>
      </c>
      <c r="B89" s="297">
        <f t="shared" si="95"/>
        <v>1.4876033057851239E-3</v>
      </c>
      <c r="C89" s="297">
        <f t="shared" ref="C89:J89" si="103">(C77+C78)*C$54/2</f>
        <v>1.4876033057851239E-3</v>
      </c>
      <c r="D89" s="297">
        <f t="shared" si="103"/>
        <v>1.4876033057851239E-3</v>
      </c>
      <c r="E89" s="297">
        <f t="shared" si="103"/>
        <v>1.4876033057851239E-3</v>
      </c>
      <c r="F89" s="297">
        <f t="shared" si="103"/>
        <v>1.4876033057851239E-3</v>
      </c>
      <c r="G89" s="297">
        <f t="shared" si="103"/>
        <v>1.4876033057851239E-3</v>
      </c>
      <c r="H89" s="297">
        <f t="shared" si="103"/>
        <v>1.4876033057851239E-3</v>
      </c>
      <c r="I89" s="297">
        <f t="shared" si="103"/>
        <v>1.4876033057851239E-3</v>
      </c>
      <c r="J89" s="297">
        <f t="shared" si="103"/>
        <v>1.4876033057851239E-3</v>
      </c>
    </row>
    <row r="90" spans="1:10" ht="14.25" outlineLevel="1">
      <c r="A90">
        <v>10</v>
      </c>
      <c r="B90" s="297">
        <f t="shared" si="95"/>
        <v>1.4256198347107436E-3</v>
      </c>
      <c r="C90" s="297">
        <f t="shared" ref="C90:J90" si="104">(C78+C79)*C$54/2</f>
        <v>1.4256198347107436E-3</v>
      </c>
      <c r="D90" s="297">
        <f t="shared" si="104"/>
        <v>1.4256198347107436E-3</v>
      </c>
      <c r="E90" s="297">
        <f t="shared" si="104"/>
        <v>1.4256198347107436E-3</v>
      </c>
      <c r="F90" s="297">
        <f t="shared" si="104"/>
        <v>1.4256198347107436E-3</v>
      </c>
      <c r="G90" s="297">
        <f t="shared" si="104"/>
        <v>1.4256198347107436E-3</v>
      </c>
      <c r="H90" s="297">
        <f t="shared" si="104"/>
        <v>1.4256198347107436E-3</v>
      </c>
      <c r="I90" s="297">
        <f t="shared" si="104"/>
        <v>1.4256198347107436E-3</v>
      </c>
      <c r="J90" s="297">
        <f t="shared" si="104"/>
        <v>1.4256198347107436E-3</v>
      </c>
    </row>
    <row r="91" spans="1:10" ht="14.25">
      <c r="A91" t="s">
        <v>584</v>
      </c>
      <c r="B91" s="295">
        <f>SUM(B81:B90)</f>
        <v>1.7045454545454544E-2</v>
      </c>
      <c r="C91" s="295"/>
      <c r="D91" s="295"/>
      <c r="E91" s="295"/>
      <c r="F91" s="295"/>
      <c r="G91" s="295"/>
      <c r="H91" s="295"/>
      <c r="I91" s="295"/>
      <c r="J91" s="295"/>
    </row>
    <row r="92" spans="1:10">
      <c r="A92" s="368" t="s">
        <v>383</v>
      </c>
    </row>
    <row r="93" spans="1:10" s="198" customFormat="1" ht="14.25">
      <c r="A93" s="198" t="s">
        <v>384</v>
      </c>
      <c r="B93" s="296">
        <f>IF(B7&gt;=1,0,(B94/(B95+B96))/SQRT(1-B7^2))</f>
        <v>0</v>
      </c>
      <c r="C93" s="296">
        <f t="shared" ref="C93:J93" si="105">IF(C7&gt;=1,0,(C94/(C95+C96))/SQRT(1-C7^2))</f>
        <v>0</v>
      </c>
      <c r="D93" s="296">
        <f t="shared" si="105"/>
        <v>0</v>
      </c>
      <c r="E93" s="296">
        <f t="shared" si="105"/>
        <v>0</v>
      </c>
      <c r="F93" s="296">
        <f t="shared" si="105"/>
        <v>0</v>
      </c>
      <c r="G93" s="296">
        <f t="shared" si="105"/>
        <v>0</v>
      </c>
      <c r="H93" s="296">
        <f t="shared" si="105"/>
        <v>0</v>
      </c>
      <c r="I93" s="296">
        <f t="shared" si="105"/>
        <v>0</v>
      </c>
      <c r="J93" s="296">
        <f t="shared" si="105"/>
        <v>0</v>
      </c>
    </row>
    <row r="94" spans="1:10" ht="14.25" hidden="1" outlineLevel="1">
      <c r="A94" t="s">
        <v>385</v>
      </c>
      <c r="B94" s="223">
        <f>PI()*COS(RADIANS(B43))</f>
        <v>2.2214414690791831</v>
      </c>
      <c r="C94" s="223">
        <f t="shared" ref="C94:J94" si="106">PI()*COS(RADIANS(C43))</f>
        <v>2.2214414690791831</v>
      </c>
      <c r="D94" s="223">
        <f t="shared" si="106"/>
        <v>2.2214414690791831</v>
      </c>
      <c r="E94" s="223">
        <f t="shared" si="106"/>
        <v>2.2214414690791831</v>
      </c>
      <c r="F94" s="223">
        <f t="shared" si="106"/>
        <v>2.2214414690791831</v>
      </c>
      <c r="G94" s="223">
        <f t="shared" si="106"/>
        <v>2.2214414690791831</v>
      </c>
      <c r="H94" s="223">
        <f t="shared" si="106"/>
        <v>2.2214414690791831</v>
      </c>
      <c r="I94" s="223">
        <f t="shared" si="106"/>
        <v>2.2214414690791831</v>
      </c>
      <c r="J94" s="223">
        <f t="shared" si="106"/>
        <v>2.2214414690791831</v>
      </c>
    </row>
    <row r="95" spans="1:10" ht="14.25" hidden="1" outlineLevel="1">
      <c r="A95" t="s">
        <v>386</v>
      </c>
      <c r="B95" s="223">
        <f>SQRT(1+((B94/(PI()*B51))^2))</f>
        <v>1.0248956925229649</v>
      </c>
      <c r="C95" s="223">
        <f t="shared" ref="C95:J95" si="107">SQRT(1+((C94/(PI()*C51))^2))</f>
        <v>1.0248956925229649</v>
      </c>
      <c r="D95" s="223">
        <f t="shared" si="107"/>
        <v>1.0248956925229649</v>
      </c>
      <c r="E95" s="223">
        <f t="shared" si="107"/>
        <v>1.0248956925229649</v>
      </c>
      <c r="F95" s="223">
        <f t="shared" si="107"/>
        <v>1.0248956925229649</v>
      </c>
      <c r="G95" s="223">
        <f t="shared" si="107"/>
        <v>1.0248956925229649</v>
      </c>
      <c r="H95" s="223">
        <f t="shared" si="107"/>
        <v>1.0248956925229649</v>
      </c>
      <c r="I95" s="223">
        <f t="shared" si="107"/>
        <v>1.0248956925229649</v>
      </c>
      <c r="J95" s="223">
        <f t="shared" si="107"/>
        <v>1.0248956925229649</v>
      </c>
    </row>
    <row r="96" spans="1:10" ht="14.25" hidden="1" outlineLevel="1">
      <c r="A96" t="s">
        <v>387</v>
      </c>
      <c r="B96" s="223">
        <f>B94/(PI()*B51)</f>
        <v>0.22452434289432335</v>
      </c>
      <c r="C96" s="223">
        <f t="shared" ref="C96:J96" si="108">C94/(PI()*C51)</f>
        <v>0.22452434289432335</v>
      </c>
      <c r="D96" s="223">
        <f t="shared" si="108"/>
        <v>0.22452434289432335</v>
      </c>
      <c r="E96" s="223">
        <f t="shared" si="108"/>
        <v>0.22452434289432335</v>
      </c>
      <c r="F96" s="223">
        <f t="shared" si="108"/>
        <v>0.22452434289432335</v>
      </c>
      <c r="G96" s="223">
        <f t="shared" si="108"/>
        <v>0.22452434289432335</v>
      </c>
      <c r="H96" s="223">
        <f t="shared" si="108"/>
        <v>0.22452434289432335</v>
      </c>
      <c r="I96" s="223">
        <f t="shared" si="108"/>
        <v>0.22452434289432335</v>
      </c>
      <c r="J96" s="223">
        <f t="shared" si="108"/>
        <v>0.22452434289432335</v>
      </c>
    </row>
    <row r="97" spans="1:10" ht="14.25" collapsed="1">
      <c r="A97" t="s">
        <v>388</v>
      </c>
      <c r="B97" s="218">
        <f>(B16*B3*B38)/B19</f>
        <v>1002820.0830288355</v>
      </c>
      <c r="C97" s="218">
        <f t="shared" ref="C97:J97" si="109">(C16*C3*C38)/C19</f>
        <v>1002820.0830288355</v>
      </c>
      <c r="D97" s="218">
        <f t="shared" si="109"/>
        <v>1002820.0830288355</v>
      </c>
      <c r="E97" s="218">
        <f t="shared" si="109"/>
        <v>1002820.0830288355</v>
      </c>
      <c r="F97" s="218">
        <f t="shared" si="109"/>
        <v>1002820.0830288355</v>
      </c>
      <c r="G97" s="218">
        <f t="shared" si="109"/>
        <v>1002820.0830288355</v>
      </c>
      <c r="H97" s="218">
        <f t="shared" si="109"/>
        <v>1002820.0830288355</v>
      </c>
      <c r="I97" s="218">
        <f t="shared" si="109"/>
        <v>1002820.0830288355</v>
      </c>
      <c r="J97" s="218">
        <f t="shared" si="109"/>
        <v>1002820.0830288355</v>
      </c>
    </row>
    <row r="98" spans="1:10" ht="14.25">
      <c r="A98" t="s">
        <v>389</v>
      </c>
      <c r="B98" s="218">
        <f>(B16*B3*B39)/B19</f>
        <v>66854672.201922365</v>
      </c>
      <c r="C98" s="218">
        <f t="shared" ref="C98:J98" si="110">(C16*C3*C39)/C19</f>
        <v>66854672.201922365</v>
      </c>
      <c r="D98" s="218">
        <f t="shared" si="110"/>
        <v>66854672.201922365</v>
      </c>
      <c r="E98" s="218">
        <f t="shared" si="110"/>
        <v>66854672.201922365</v>
      </c>
      <c r="F98" s="218">
        <f t="shared" si="110"/>
        <v>66854672.201922365</v>
      </c>
      <c r="G98" s="218">
        <f t="shared" si="110"/>
        <v>66854672.201922365</v>
      </c>
      <c r="H98" s="218">
        <f t="shared" si="110"/>
        <v>66854672.201922365</v>
      </c>
      <c r="I98" s="218">
        <f t="shared" si="110"/>
        <v>66854672.201922365</v>
      </c>
      <c r="J98" s="218">
        <f t="shared" si="110"/>
        <v>66854672.201922365</v>
      </c>
    </row>
    <row r="99" spans="1:10" ht="14.25">
      <c r="A99" t="s">
        <v>576</v>
      </c>
      <c r="B99" s="217">
        <v>0.5</v>
      </c>
      <c r="C99" s="217">
        <v>1</v>
      </c>
      <c r="D99" s="217">
        <v>1</v>
      </c>
      <c r="E99" s="217">
        <v>1</v>
      </c>
      <c r="F99" s="217">
        <v>1</v>
      </c>
      <c r="G99" s="217">
        <v>1</v>
      </c>
      <c r="H99" s="217">
        <v>1</v>
      </c>
      <c r="I99" s="217">
        <v>1</v>
      </c>
      <c r="J99" s="217">
        <v>1</v>
      </c>
    </row>
    <row r="100" spans="1:10" ht="14.25">
      <c r="A100" t="s">
        <v>577</v>
      </c>
      <c r="B100" s="218">
        <f>B99/1000</f>
        <v>5.0000000000000001E-4</v>
      </c>
      <c r="C100" s="218">
        <f t="shared" ref="C100:J100" si="111">C99/1000</f>
        <v>1E-3</v>
      </c>
      <c r="D100" s="218">
        <f t="shared" si="111"/>
        <v>1E-3</v>
      </c>
      <c r="E100" s="218">
        <f t="shared" si="111"/>
        <v>1E-3</v>
      </c>
      <c r="F100" s="218">
        <f t="shared" si="111"/>
        <v>1E-3</v>
      </c>
      <c r="G100" s="218">
        <f t="shared" si="111"/>
        <v>1E-3</v>
      </c>
      <c r="H100" s="218">
        <f t="shared" si="111"/>
        <v>1E-3</v>
      </c>
      <c r="I100" s="218">
        <f t="shared" si="111"/>
        <v>1E-3</v>
      </c>
      <c r="J100" s="218">
        <f t="shared" si="111"/>
        <v>1E-3</v>
      </c>
    </row>
    <row r="101" spans="1:10" ht="14.25">
      <c r="A101" t="s">
        <v>578</v>
      </c>
      <c r="B101" s="223">
        <f>(B100*B3)/B19</f>
        <v>2723.1685435030081</v>
      </c>
      <c r="C101" s="223">
        <f t="shared" ref="C101:J101" si="112">(C100*C3)/C19</f>
        <v>5446.3370870060162</v>
      </c>
      <c r="D101" s="223">
        <f t="shared" si="112"/>
        <v>5446.3370870060162</v>
      </c>
      <c r="E101" s="223">
        <f t="shared" si="112"/>
        <v>5446.3370870060162</v>
      </c>
      <c r="F101" s="223">
        <f t="shared" si="112"/>
        <v>5446.3370870060162</v>
      </c>
      <c r="G101" s="223">
        <f t="shared" si="112"/>
        <v>5446.3370870060162</v>
      </c>
      <c r="H101" s="223">
        <f t="shared" si="112"/>
        <v>5446.3370870060162</v>
      </c>
      <c r="I101" s="223">
        <f t="shared" si="112"/>
        <v>5446.3370870060162</v>
      </c>
      <c r="J101" s="223">
        <f t="shared" si="112"/>
        <v>5446.3370870060162</v>
      </c>
    </row>
    <row r="102" spans="1:10" ht="14.25">
      <c r="A102" t="s">
        <v>579</v>
      </c>
      <c r="B102" s="223">
        <f>SQRT(0.0576/(2*B97))</f>
        <v>1.6946684043574287E-4</v>
      </c>
      <c r="C102" s="223">
        <f t="shared" ref="C102:J102" si="113">SQRT(0.0576/(2*C97))</f>
        <v>1.6946684043574287E-4</v>
      </c>
      <c r="D102" s="223">
        <f t="shared" si="113"/>
        <v>1.6946684043574287E-4</v>
      </c>
      <c r="E102" s="223">
        <f t="shared" si="113"/>
        <v>1.6946684043574287E-4</v>
      </c>
      <c r="F102" s="223">
        <f t="shared" si="113"/>
        <v>1.6946684043574287E-4</v>
      </c>
      <c r="G102" s="223">
        <f t="shared" si="113"/>
        <v>1.6946684043574287E-4</v>
      </c>
      <c r="H102" s="223">
        <f t="shared" si="113"/>
        <v>1.6946684043574287E-4</v>
      </c>
      <c r="I102" s="223">
        <f t="shared" si="113"/>
        <v>1.6946684043574287E-4</v>
      </c>
      <c r="J102" s="223">
        <f t="shared" si="113"/>
        <v>1.6946684043574287E-4</v>
      </c>
    </row>
    <row r="103" spans="1:10">
      <c r="A103" s="369" t="s">
        <v>582</v>
      </c>
      <c r="B103" s="223">
        <f>B38/$A108</f>
        <v>0.03</v>
      </c>
      <c r="C103" s="223">
        <f t="shared" ref="C103:J103" si="114">C38/$A108</f>
        <v>0.03</v>
      </c>
      <c r="D103" s="223">
        <f t="shared" si="114"/>
        <v>0.03</v>
      </c>
      <c r="E103" s="223">
        <f t="shared" si="114"/>
        <v>0.03</v>
      </c>
      <c r="F103" s="223">
        <f t="shared" si="114"/>
        <v>0.03</v>
      </c>
      <c r="G103" s="223">
        <f t="shared" si="114"/>
        <v>0.03</v>
      </c>
      <c r="H103" s="223">
        <f t="shared" si="114"/>
        <v>0.03</v>
      </c>
      <c r="I103" s="223">
        <f t="shared" si="114"/>
        <v>0.03</v>
      </c>
      <c r="J103" s="223">
        <f t="shared" si="114"/>
        <v>0.03</v>
      </c>
    </row>
    <row r="104" spans="1:10" ht="14.25" hidden="1" outlineLevel="1">
      <c r="A104">
        <v>1</v>
      </c>
      <c r="B104" s="218">
        <f>(B$16*B$3*($A104*B$103))/B$19</f>
        <v>200564.01660576707</v>
      </c>
      <c r="C104" s="218">
        <f t="shared" ref="C104:J104" si="115">(C$16*C$3*($A104*C$103))/C$19</f>
        <v>200564.01660576707</v>
      </c>
      <c r="D104" s="218">
        <f t="shared" si="115"/>
        <v>200564.01660576707</v>
      </c>
      <c r="E104" s="218">
        <f t="shared" si="115"/>
        <v>200564.01660576707</v>
      </c>
      <c r="F104" s="218">
        <f t="shared" si="115"/>
        <v>200564.01660576707</v>
      </c>
      <c r="G104" s="218">
        <f t="shared" si="115"/>
        <v>200564.01660576707</v>
      </c>
      <c r="H104" s="218">
        <f t="shared" si="115"/>
        <v>200564.01660576707</v>
      </c>
      <c r="I104" s="218">
        <f t="shared" si="115"/>
        <v>200564.01660576707</v>
      </c>
      <c r="J104" s="218">
        <f t="shared" si="115"/>
        <v>200564.01660576707</v>
      </c>
    </row>
    <row r="105" spans="1:10" ht="14.25" hidden="1" outlineLevel="1">
      <c r="A105">
        <v>2</v>
      </c>
      <c r="B105" s="218">
        <f t="shared" ref="B105:J108" si="116">(B$16*B$3*($A105*B$103))/B$19</f>
        <v>401128.03321153414</v>
      </c>
      <c r="C105" s="218">
        <f t="shared" si="116"/>
        <v>401128.03321153414</v>
      </c>
      <c r="D105" s="218">
        <f t="shared" si="116"/>
        <v>401128.03321153414</v>
      </c>
      <c r="E105" s="218">
        <f t="shared" si="116"/>
        <v>401128.03321153414</v>
      </c>
      <c r="F105" s="218">
        <f t="shared" si="116"/>
        <v>401128.03321153414</v>
      </c>
      <c r="G105" s="218">
        <f t="shared" si="116"/>
        <v>401128.03321153414</v>
      </c>
      <c r="H105" s="218">
        <f t="shared" si="116"/>
        <v>401128.03321153414</v>
      </c>
      <c r="I105" s="218">
        <f t="shared" si="116"/>
        <v>401128.03321153414</v>
      </c>
      <c r="J105" s="218">
        <f t="shared" si="116"/>
        <v>401128.03321153414</v>
      </c>
    </row>
    <row r="106" spans="1:10" ht="14.25" hidden="1" outlineLevel="1">
      <c r="A106">
        <v>3</v>
      </c>
      <c r="B106" s="218">
        <f t="shared" si="116"/>
        <v>601692.04981730122</v>
      </c>
      <c r="C106" s="218">
        <f t="shared" si="116"/>
        <v>601692.04981730122</v>
      </c>
      <c r="D106" s="218">
        <f t="shared" si="116"/>
        <v>601692.04981730122</v>
      </c>
      <c r="E106" s="218">
        <f t="shared" si="116"/>
        <v>601692.04981730122</v>
      </c>
      <c r="F106" s="218">
        <f t="shared" si="116"/>
        <v>601692.04981730122</v>
      </c>
      <c r="G106" s="218">
        <f t="shared" si="116"/>
        <v>601692.04981730122</v>
      </c>
      <c r="H106" s="218">
        <f t="shared" si="116"/>
        <v>601692.04981730122</v>
      </c>
      <c r="I106" s="218">
        <f t="shared" si="116"/>
        <v>601692.04981730122</v>
      </c>
      <c r="J106" s="218">
        <f t="shared" si="116"/>
        <v>601692.04981730122</v>
      </c>
    </row>
    <row r="107" spans="1:10" ht="14.25" hidden="1" outlineLevel="1">
      <c r="A107">
        <v>4</v>
      </c>
      <c r="B107" s="218">
        <f t="shared" si="116"/>
        <v>802256.06642306829</v>
      </c>
      <c r="C107" s="218">
        <f t="shared" si="116"/>
        <v>802256.06642306829</v>
      </c>
      <c r="D107" s="218">
        <f t="shared" si="116"/>
        <v>802256.06642306829</v>
      </c>
      <c r="E107" s="218">
        <f t="shared" si="116"/>
        <v>802256.06642306829</v>
      </c>
      <c r="F107" s="218">
        <f t="shared" si="116"/>
        <v>802256.06642306829</v>
      </c>
      <c r="G107" s="218">
        <f t="shared" si="116"/>
        <v>802256.06642306829</v>
      </c>
      <c r="H107" s="218">
        <f t="shared" si="116"/>
        <v>802256.06642306829</v>
      </c>
      <c r="I107" s="218">
        <f t="shared" si="116"/>
        <v>802256.06642306829</v>
      </c>
      <c r="J107" s="218">
        <f t="shared" si="116"/>
        <v>802256.06642306829</v>
      </c>
    </row>
    <row r="108" spans="1:10" ht="14.25" hidden="1" outlineLevel="1">
      <c r="A108">
        <v>5</v>
      </c>
      <c r="B108" s="218">
        <f t="shared" si="116"/>
        <v>1002820.0830288355</v>
      </c>
      <c r="C108" s="218">
        <f t="shared" si="116"/>
        <v>1002820.0830288355</v>
      </c>
      <c r="D108" s="218">
        <f t="shared" si="116"/>
        <v>1002820.0830288355</v>
      </c>
      <c r="E108" s="218">
        <f t="shared" si="116"/>
        <v>1002820.0830288355</v>
      </c>
      <c r="F108" s="218">
        <f t="shared" si="116"/>
        <v>1002820.0830288355</v>
      </c>
      <c r="G108" s="218">
        <f t="shared" si="116"/>
        <v>1002820.0830288355</v>
      </c>
      <c r="H108" s="218">
        <f t="shared" si="116"/>
        <v>1002820.0830288355</v>
      </c>
      <c r="I108" s="218">
        <f t="shared" si="116"/>
        <v>1002820.0830288355</v>
      </c>
      <c r="J108" s="218">
        <f t="shared" si="116"/>
        <v>1002820.0830288355</v>
      </c>
    </row>
    <row r="109" spans="1:10" collapsed="1">
      <c r="A109" s="369" t="s">
        <v>583</v>
      </c>
      <c r="B109" s="218"/>
      <c r="C109" s="218"/>
      <c r="D109" s="218"/>
      <c r="E109" s="218"/>
      <c r="F109" s="218"/>
      <c r="G109" s="218"/>
      <c r="H109" s="218"/>
      <c r="I109" s="218"/>
      <c r="J109" s="218"/>
    </row>
    <row r="110" spans="1:10" ht="14.25" hidden="1" outlineLevel="1">
      <c r="A110">
        <v>1</v>
      </c>
      <c r="B110" s="218">
        <f>B$101*(SQRT(0.0576/(2*($B104^(1/5)))))</f>
        <v>136.31556995196863</v>
      </c>
      <c r="C110" s="218"/>
      <c r="D110" s="218"/>
      <c r="E110" s="218"/>
      <c r="F110" s="218"/>
      <c r="G110" s="218"/>
      <c r="H110" s="218"/>
      <c r="I110" s="218"/>
      <c r="J110" s="218"/>
    </row>
    <row r="111" spans="1:10" ht="14.25" hidden="1" outlineLevel="1">
      <c r="A111">
        <v>2</v>
      </c>
      <c r="B111" s="218">
        <f t="shared" ref="B111:B114" si="117">B$101*(SQRT(0.0576/(2*($B105^(1/5)))))</f>
        <v>127.18692402533023</v>
      </c>
      <c r="C111" s="218"/>
      <c r="D111" s="218"/>
      <c r="E111" s="218"/>
      <c r="F111" s="218"/>
      <c r="G111" s="218"/>
      <c r="H111" s="218"/>
      <c r="I111" s="218"/>
      <c r="J111" s="218"/>
    </row>
    <row r="112" spans="1:10" ht="14.25" hidden="1" outlineLevel="1">
      <c r="A112">
        <v>3</v>
      </c>
      <c r="B112" s="218">
        <f t="shared" si="117"/>
        <v>122.13308810648152</v>
      </c>
      <c r="C112" s="218"/>
      <c r="D112" s="218"/>
      <c r="E112" s="218"/>
      <c r="F112" s="218"/>
      <c r="G112" s="218"/>
      <c r="H112" s="218"/>
      <c r="I112" s="218"/>
      <c r="J112" s="218"/>
    </row>
    <row r="113" spans="1:10" ht="14.25" hidden="1" outlineLevel="1">
      <c r="A113">
        <v>4</v>
      </c>
      <c r="B113" s="218">
        <f t="shared" si="117"/>
        <v>118.6695962077185</v>
      </c>
      <c r="C113" s="218"/>
      <c r="D113" s="218"/>
      <c r="E113" s="218"/>
      <c r="F113" s="218"/>
      <c r="G113" s="218"/>
      <c r="H113" s="218"/>
      <c r="I113" s="218"/>
      <c r="J113" s="218"/>
    </row>
    <row r="114" spans="1:10" ht="14.25" hidden="1" outlineLevel="1">
      <c r="A114">
        <v>5</v>
      </c>
      <c r="B114" s="218">
        <f t="shared" si="117"/>
        <v>116.05088676128557</v>
      </c>
      <c r="C114" s="218"/>
      <c r="D114" s="218"/>
      <c r="E114" s="218"/>
      <c r="F114" s="218"/>
      <c r="G114" s="218"/>
      <c r="H114" s="218"/>
      <c r="I114" s="218"/>
      <c r="J114" s="218"/>
    </row>
    <row r="115" spans="1:10" ht="14.25" collapsed="1">
      <c r="A115" t="s">
        <v>580</v>
      </c>
    </row>
    <row r="116" spans="1:10" ht="14.25">
      <c r="A116" t="s">
        <v>581</v>
      </c>
    </row>
    <row r="117" spans="1:10" ht="14.25">
      <c r="A117">
        <v>1</v>
      </c>
    </row>
    <row r="118" spans="1:10" ht="14.25">
      <c r="A118">
        <v>2</v>
      </c>
    </row>
    <row r="119" spans="1:10" ht="14.25">
      <c r="A119">
        <v>3</v>
      </c>
    </row>
    <row r="120" spans="1:10" ht="14.25">
      <c r="A120">
        <v>4</v>
      </c>
    </row>
    <row r="121" spans="1:10" ht="14.25">
      <c r="A121">
        <v>5</v>
      </c>
    </row>
    <row r="122" spans="1:10" ht="14.25"/>
    <row r="123" spans="1:10" ht="14.25"/>
    <row r="124" spans="1:10" ht="14.25"/>
    <row r="125" spans="1:10" ht="14.25"/>
    <row r="126" spans="1:10" ht="14.25"/>
    <row r="127" spans="1:10" ht="14.25"/>
    <row r="128" spans="1:10" ht="14.25"/>
    <row r="129" spans="1:10" ht="14.25"/>
    <row r="130" spans="1:10" ht="14.25"/>
    <row r="131" spans="1:10" ht="14.25"/>
    <row r="132" spans="1:10" ht="14.25"/>
    <row r="133" spans="1:10" ht="14.25"/>
    <row r="134" spans="1:10" ht="15" customHeight="1">
      <c r="A134" s="368" t="s">
        <v>586</v>
      </c>
    </row>
    <row r="135" spans="1:10" s="369" customFormat="1" ht="15" customHeight="1">
      <c r="A135" s="374" t="s">
        <v>390</v>
      </c>
      <c r="B135" s="375">
        <f>B$93*RADIANS(B$9)</f>
        <v>0</v>
      </c>
      <c r="C135" s="375">
        <f t="shared" ref="C135:J135" si="118">C$93*RADIANS(C$9)</f>
        <v>0</v>
      </c>
      <c r="D135" s="375">
        <f t="shared" si="118"/>
        <v>0</v>
      </c>
      <c r="E135" s="375">
        <f t="shared" si="118"/>
        <v>0</v>
      </c>
      <c r="F135" s="375">
        <f t="shared" si="118"/>
        <v>0</v>
      </c>
      <c r="G135" s="375">
        <f t="shared" si="118"/>
        <v>0</v>
      </c>
      <c r="H135" s="375">
        <f t="shared" si="118"/>
        <v>0</v>
      </c>
      <c r="I135" s="375">
        <f t="shared" si="118"/>
        <v>0</v>
      </c>
      <c r="J135" s="375">
        <f t="shared" si="118"/>
        <v>0</v>
      </c>
    </row>
    <row r="136" spans="1:10" ht="15" customHeight="1">
      <c r="A136" t="s">
        <v>391</v>
      </c>
    </row>
    <row r="137" spans="1:10" ht="15" hidden="1" customHeight="1" outlineLevel="1">
      <c r="A137">
        <v>1</v>
      </c>
      <c r="B137" s="223">
        <f>B$29*(B81)*B$135</f>
        <v>0</v>
      </c>
      <c r="C137" s="223">
        <f t="shared" ref="C137:J137" si="119">C$29*(C81)*C$135</f>
        <v>0</v>
      </c>
      <c r="D137" s="223">
        <f t="shared" si="119"/>
        <v>0</v>
      </c>
      <c r="E137" s="223">
        <f t="shared" si="119"/>
        <v>0</v>
      </c>
      <c r="F137" s="223">
        <f t="shared" si="119"/>
        <v>0</v>
      </c>
      <c r="G137" s="223">
        <f t="shared" si="119"/>
        <v>0</v>
      </c>
      <c r="H137" s="223">
        <f t="shared" si="119"/>
        <v>0</v>
      </c>
      <c r="I137" s="223">
        <f t="shared" si="119"/>
        <v>0</v>
      </c>
      <c r="J137" s="223">
        <f t="shared" si="119"/>
        <v>0</v>
      </c>
    </row>
    <row r="138" spans="1:10" ht="15" hidden="1" customHeight="1" outlineLevel="1">
      <c r="A138">
        <v>2</v>
      </c>
      <c r="B138" s="223">
        <f>B$29*(B82)*B$135</f>
        <v>0</v>
      </c>
      <c r="C138" s="223">
        <f t="shared" ref="C138:J138" si="120">C$29*(C82)*C$135</f>
        <v>0</v>
      </c>
      <c r="D138" s="223">
        <f t="shared" si="120"/>
        <v>0</v>
      </c>
      <c r="E138" s="223">
        <f t="shared" si="120"/>
        <v>0</v>
      </c>
      <c r="F138" s="223">
        <f t="shared" si="120"/>
        <v>0</v>
      </c>
      <c r="G138" s="223">
        <f t="shared" si="120"/>
        <v>0</v>
      </c>
      <c r="H138" s="223">
        <f t="shared" si="120"/>
        <v>0</v>
      </c>
      <c r="I138" s="223">
        <f t="shared" si="120"/>
        <v>0</v>
      </c>
      <c r="J138" s="223">
        <f t="shared" si="120"/>
        <v>0</v>
      </c>
    </row>
    <row r="139" spans="1:10" ht="15" hidden="1" customHeight="1" outlineLevel="1">
      <c r="A139">
        <v>3</v>
      </c>
      <c r="B139" s="223">
        <f>B$29*(B83)*B$135</f>
        <v>0</v>
      </c>
      <c r="C139" s="223">
        <f t="shared" ref="C139:J139" si="121">C$29*(C83)*C$135</f>
        <v>0</v>
      </c>
      <c r="D139" s="223">
        <f t="shared" si="121"/>
        <v>0</v>
      </c>
      <c r="E139" s="223">
        <f t="shared" si="121"/>
        <v>0</v>
      </c>
      <c r="F139" s="223">
        <f t="shared" si="121"/>
        <v>0</v>
      </c>
      <c r="G139" s="223">
        <f t="shared" si="121"/>
        <v>0</v>
      </c>
      <c r="H139" s="223">
        <f t="shared" si="121"/>
        <v>0</v>
      </c>
      <c r="I139" s="223">
        <f t="shared" si="121"/>
        <v>0</v>
      </c>
      <c r="J139" s="223">
        <f t="shared" si="121"/>
        <v>0</v>
      </c>
    </row>
    <row r="140" spans="1:10" ht="15" hidden="1" customHeight="1" outlineLevel="1">
      <c r="A140">
        <v>4</v>
      </c>
      <c r="B140" s="223">
        <f>B$29*(B84)*B$135</f>
        <v>0</v>
      </c>
      <c r="C140" s="223">
        <f t="shared" ref="C140:J140" si="122">C$29*(C84)*C$135</f>
        <v>0</v>
      </c>
      <c r="D140" s="223">
        <f t="shared" si="122"/>
        <v>0</v>
      </c>
      <c r="E140" s="223">
        <f t="shared" si="122"/>
        <v>0</v>
      </c>
      <c r="F140" s="223">
        <f t="shared" si="122"/>
        <v>0</v>
      </c>
      <c r="G140" s="223">
        <f t="shared" si="122"/>
        <v>0</v>
      </c>
      <c r="H140" s="223">
        <f t="shared" si="122"/>
        <v>0</v>
      </c>
      <c r="I140" s="223">
        <f t="shared" si="122"/>
        <v>0</v>
      </c>
      <c r="J140" s="223">
        <f t="shared" si="122"/>
        <v>0</v>
      </c>
    </row>
    <row r="141" spans="1:10" ht="15" hidden="1" customHeight="1" outlineLevel="1">
      <c r="A141">
        <v>5</v>
      </c>
      <c r="B141" s="223">
        <f>B$29*(B85)*B$135</f>
        <v>0</v>
      </c>
      <c r="C141" s="223">
        <f t="shared" ref="C141:J141" si="123">C$29*(C85)*C$135</f>
        <v>0</v>
      </c>
      <c r="D141" s="223">
        <f t="shared" si="123"/>
        <v>0</v>
      </c>
      <c r="E141" s="223">
        <f t="shared" si="123"/>
        <v>0</v>
      </c>
      <c r="F141" s="223">
        <f t="shared" si="123"/>
        <v>0</v>
      </c>
      <c r="G141" s="223">
        <f t="shared" si="123"/>
        <v>0</v>
      </c>
      <c r="H141" s="223">
        <f t="shared" si="123"/>
        <v>0</v>
      </c>
      <c r="I141" s="223">
        <f t="shared" si="123"/>
        <v>0</v>
      </c>
      <c r="J141" s="223">
        <f t="shared" si="123"/>
        <v>0</v>
      </c>
    </row>
    <row r="142" spans="1:10" ht="15" hidden="1" customHeight="1" outlineLevel="1">
      <c r="A142">
        <v>6</v>
      </c>
      <c r="B142" s="223">
        <f>B$29*(B86)*B$135</f>
        <v>0</v>
      </c>
      <c r="C142" s="223">
        <f t="shared" ref="C142:J142" si="124">C$29*(C86)*C$135</f>
        <v>0</v>
      </c>
      <c r="D142" s="223">
        <f t="shared" si="124"/>
        <v>0</v>
      </c>
      <c r="E142" s="223">
        <f t="shared" si="124"/>
        <v>0</v>
      </c>
      <c r="F142" s="223">
        <f t="shared" si="124"/>
        <v>0</v>
      </c>
      <c r="G142" s="223">
        <f t="shared" si="124"/>
        <v>0</v>
      </c>
      <c r="H142" s="223">
        <f t="shared" si="124"/>
        <v>0</v>
      </c>
      <c r="I142" s="223">
        <f t="shared" si="124"/>
        <v>0</v>
      </c>
      <c r="J142" s="223">
        <f t="shared" si="124"/>
        <v>0</v>
      </c>
    </row>
    <row r="143" spans="1:10" ht="15" hidden="1" customHeight="1" outlineLevel="1">
      <c r="A143">
        <v>7</v>
      </c>
      <c r="B143" s="223">
        <f>B$29*(B87)*B$135</f>
        <v>0</v>
      </c>
      <c r="C143" s="223">
        <f t="shared" ref="C143:J143" si="125">C$29*(C87)*C$135</f>
        <v>0</v>
      </c>
      <c r="D143" s="223">
        <f t="shared" si="125"/>
        <v>0</v>
      </c>
      <c r="E143" s="223">
        <f t="shared" si="125"/>
        <v>0</v>
      </c>
      <c r="F143" s="223">
        <f t="shared" si="125"/>
        <v>0</v>
      </c>
      <c r="G143" s="223">
        <f t="shared" si="125"/>
        <v>0</v>
      </c>
      <c r="H143" s="223">
        <f t="shared" si="125"/>
        <v>0</v>
      </c>
      <c r="I143" s="223">
        <f t="shared" si="125"/>
        <v>0</v>
      </c>
      <c r="J143" s="223">
        <f t="shared" si="125"/>
        <v>0</v>
      </c>
    </row>
    <row r="144" spans="1:10" ht="15" hidden="1" customHeight="1" outlineLevel="1">
      <c r="A144">
        <v>8</v>
      </c>
      <c r="B144" s="223">
        <f>B$29*(B88)*B$135</f>
        <v>0</v>
      </c>
      <c r="C144" s="223">
        <f t="shared" ref="C144:J144" si="126">C$29*(C88)*C$135</f>
        <v>0</v>
      </c>
      <c r="D144" s="223">
        <f t="shared" si="126"/>
        <v>0</v>
      </c>
      <c r="E144" s="223">
        <f t="shared" si="126"/>
        <v>0</v>
      </c>
      <c r="F144" s="223">
        <f t="shared" si="126"/>
        <v>0</v>
      </c>
      <c r="G144" s="223">
        <f t="shared" si="126"/>
        <v>0</v>
      </c>
      <c r="H144" s="223">
        <f t="shared" si="126"/>
        <v>0</v>
      </c>
      <c r="I144" s="223">
        <f t="shared" si="126"/>
        <v>0</v>
      </c>
      <c r="J144" s="223">
        <f t="shared" si="126"/>
        <v>0</v>
      </c>
    </row>
    <row r="145" spans="1:10" ht="15" hidden="1" customHeight="1" outlineLevel="1">
      <c r="A145">
        <v>9</v>
      </c>
      <c r="B145" s="223">
        <f>B$29*(B89)*B$135</f>
        <v>0</v>
      </c>
      <c r="C145" s="223">
        <f t="shared" ref="C145:J145" si="127">C$29*(C89)*C$135</f>
        <v>0</v>
      </c>
      <c r="D145" s="223">
        <f t="shared" si="127"/>
        <v>0</v>
      </c>
      <c r="E145" s="223">
        <f t="shared" si="127"/>
        <v>0</v>
      </c>
      <c r="F145" s="223">
        <f t="shared" si="127"/>
        <v>0</v>
      </c>
      <c r="G145" s="223">
        <f t="shared" si="127"/>
        <v>0</v>
      </c>
      <c r="H145" s="223">
        <f t="shared" si="127"/>
        <v>0</v>
      </c>
      <c r="I145" s="223">
        <f t="shared" si="127"/>
        <v>0</v>
      </c>
      <c r="J145" s="223">
        <f t="shared" si="127"/>
        <v>0</v>
      </c>
    </row>
    <row r="146" spans="1:10" ht="15" hidden="1" customHeight="1" outlineLevel="1">
      <c r="A146">
        <v>10</v>
      </c>
      <c r="B146" s="223">
        <f>B$29*(B90)*B$135</f>
        <v>0</v>
      </c>
      <c r="C146" s="223">
        <f t="shared" ref="C146:J146" si="128">C$29*(C90)*C$135</f>
        <v>0</v>
      </c>
      <c r="D146" s="223">
        <f t="shared" si="128"/>
        <v>0</v>
      </c>
      <c r="E146" s="223">
        <f t="shared" si="128"/>
        <v>0</v>
      </c>
      <c r="F146" s="223">
        <f t="shared" si="128"/>
        <v>0</v>
      </c>
      <c r="G146" s="223">
        <f t="shared" si="128"/>
        <v>0</v>
      </c>
      <c r="H146" s="223">
        <f t="shared" si="128"/>
        <v>0</v>
      </c>
      <c r="I146" s="223">
        <f t="shared" si="128"/>
        <v>0</v>
      </c>
      <c r="J146" s="223">
        <f t="shared" si="128"/>
        <v>0</v>
      </c>
    </row>
    <row r="147" spans="1:10" ht="15" customHeight="1" collapsed="1">
      <c r="A147" t="s">
        <v>392</v>
      </c>
      <c r="B147" s="223">
        <f t="shared" ref="B147" si="129">SUM(B137:B146)</f>
        <v>0</v>
      </c>
      <c r="C147" s="223">
        <f t="shared" ref="C147:J147" si="130">SUM(C137:C146)</f>
        <v>0</v>
      </c>
      <c r="D147" s="223">
        <f t="shared" si="130"/>
        <v>0</v>
      </c>
      <c r="E147" s="223">
        <f t="shared" si="130"/>
        <v>0</v>
      </c>
      <c r="F147" s="223">
        <f t="shared" si="130"/>
        <v>0</v>
      </c>
      <c r="G147" s="223">
        <f t="shared" si="130"/>
        <v>0</v>
      </c>
      <c r="H147" s="223">
        <f t="shared" si="130"/>
        <v>0</v>
      </c>
      <c r="I147" s="223">
        <f t="shared" si="130"/>
        <v>0</v>
      </c>
      <c r="J147" s="223">
        <f t="shared" si="130"/>
        <v>0</v>
      </c>
    </row>
    <row r="148" spans="1:10" ht="15" customHeight="1">
      <c r="A148" t="s">
        <v>393</v>
      </c>
    </row>
    <row r="149" spans="1:10" ht="15" customHeight="1">
      <c r="A149" t="s">
        <v>394</v>
      </c>
    </row>
    <row r="150" spans="1:10" ht="15" hidden="1" customHeight="1" outlineLevel="1">
      <c r="A150">
        <v>0</v>
      </c>
      <c r="B150">
        <v>0</v>
      </c>
      <c r="C150">
        <v>0</v>
      </c>
      <c r="D150">
        <v>0</v>
      </c>
      <c r="E150">
        <v>0</v>
      </c>
      <c r="F150">
        <v>0</v>
      </c>
      <c r="G150">
        <v>0</v>
      </c>
      <c r="H150">
        <v>0</v>
      </c>
      <c r="I150">
        <v>0</v>
      </c>
      <c r="J150">
        <v>0</v>
      </c>
    </row>
    <row r="151" spans="1:10" ht="15" hidden="1" customHeight="1" outlineLevel="1">
      <c r="A151">
        <v>5</v>
      </c>
      <c r="B151">
        <v>0.35595654307107139</v>
      </c>
      <c r="C151">
        <v>0.35595654307107139</v>
      </c>
      <c r="D151">
        <v>0.35595654307107139</v>
      </c>
      <c r="E151">
        <v>0.35595654307107139</v>
      </c>
      <c r="F151">
        <v>0.35595654307107139</v>
      </c>
      <c r="G151">
        <v>0.35595654307107139</v>
      </c>
      <c r="H151">
        <v>0.35595654307107139</v>
      </c>
      <c r="I151">
        <v>0.35595654307107139</v>
      </c>
      <c r="J151">
        <v>0.35595654307107139</v>
      </c>
    </row>
    <row r="152" spans="1:10" ht="15" hidden="1" customHeight="1" outlineLevel="1">
      <c r="A152">
        <v>10</v>
      </c>
      <c r="B152">
        <v>0.71191308614214277</v>
      </c>
      <c r="C152">
        <v>0.71191308614214277</v>
      </c>
      <c r="D152">
        <v>0.71191308614214277</v>
      </c>
      <c r="E152">
        <v>0.71191308614214277</v>
      </c>
      <c r="F152">
        <v>0.71191308614214277</v>
      </c>
      <c r="G152">
        <v>0.71191308614214277</v>
      </c>
      <c r="H152">
        <v>0.71191308614214277</v>
      </c>
      <c r="I152">
        <v>0.71191308614214277</v>
      </c>
      <c r="J152">
        <v>0.71191308614214277</v>
      </c>
    </row>
    <row r="153" spans="1:10" ht="15" hidden="1" customHeight="1" outlineLevel="1">
      <c r="A153" s="219">
        <v>15</v>
      </c>
      <c r="B153">
        <v>1.0678696292132142</v>
      </c>
      <c r="C153">
        <v>1.0678696292132142</v>
      </c>
      <c r="D153">
        <v>1.0678696292132142</v>
      </c>
      <c r="E153">
        <v>1.0678696292132142</v>
      </c>
      <c r="F153">
        <v>1.0678696292132142</v>
      </c>
      <c r="G153">
        <v>1.0678696292132142</v>
      </c>
      <c r="H153">
        <v>1.0678696292132142</v>
      </c>
      <c r="I153">
        <v>1.0678696292132142</v>
      </c>
      <c r="J153">
        <v>1.0678696292132142</v>
      </c>
    </row>
    <row r="154" spans="1:10" ht="15" hidden="1" customHeight="1" outlineLevel="1">
      <c r="A154" s="299">
        <v>20</v>
      </c>
      <c r="B154">
        <v>1.4238261722842855</v>
      </c>
      <c r="C154">
        <v>1.4238261722842855</v>
      </c>
      <c r="D154">
        <v>1.4238261722842855</v>
      </c>
      <c r="E154">
        <v>1.4238261722842855</v>
      </c>
      <c r="F154">
        <v>1.4238261722842855</v>
      </c>
      <c r="G154">
        <v>1.4238261722842855</v>
      </c>
      <c r="H154">
        <v>1.4238261722842855</v>
      </c>
      <c r="I154">
        <v>1.4238261722842855</v>
      </c>
      <c r="J154">
        <v>1.4238261722842855</v>
      </c>
    </row>
    <row r="155" spans="1:10" ht="15" hidden="1" customHeight="1" outlineLevel="1">
      <c r="A155" s="299">
        <v>25</v>
      </c>
      <c r="B155">
        <v>1.7797827153553569</v>
      </c>
      <c r="C155">
        <v>1.7797827153553569</v>
      </c>
      <c r="D155">
        <v>1.7797827153553569</v>
      </c>
      <c r="E155">
        <v>1.7797827153553569</v>
      </c>
      <c r="F155">
        <v>1.7797827153553569</v>
      </c>
      <c r="G155">
        <v>1.7797827153553569</v>
      </c>
      <c r="H155">
        <v>1.7797827153553569</v>
      </c>
      <c r="I155">
        <v>1.7797827153553569</v>
      </c>
      <c r="J155">
        <v>1.7797827153553569</v>
      </c>
    </row>
    <row r="156" spans="1:10" ht="15" hidden="1" customHeight="1" outlineLevel="1">
      <c r="A156" s="299">
        <v>30</v>
      </c>
      <c r="B156">
        <v>2.1357392584264283</v>
      </c>
      <c r="C156">
        <v>2.1357392584264283</v>
      </c>
      <c r="D156">
        <v>2.1357392584264283</v>
      </c>
      <c r="E156">
        <v>2.1357392584264283</v>
      </c>
      <c r="F156">
        <v>2.1357392584264283</v>
      </c>
      <c r="G156">
        <v>2.1357392584264283</v>
      </c>
      <c r="H156">
        <v>2.1357392584264283</v>
      </c>
      <c r="I156">
        <v>2.1357392584264283</v>
      </c>
      <c r="J156">
        <v>2.1357392584264283</v>
      </c>
    </row>
    <row r="157" spans="1:10" ht="15" hidden="1" customHeight="1" outlineLevel="1">
      <c r="A157" s="299">
        <v>35</v>
      </c>
      <c r="B157">
        <v>2.4916958014974999</v>
      </c>
      <c r="C157">
        <v>2.4916958014974999</v>
      </c>
      <c r="D157">
        <v>2.4916958014974999</v>
      </c>
      <c r="E157">
        <v>2.4916958014974999</v>
      </c>
      <c r="F157">
        <v>2.4916958014974999</v>
      </c>
      <c r="G157">
        <v>2.4916958014974999</v>
      </c>
      <c r="H157">
        <v>2.4916958014974999</v>
      </c>
      <c r="I157">
        <v>2.4916958014974999</v>
      </c>
      <c r="J157">
        <v>2.4916958014974999</v>
      </c>
    </row>
    <row r="158" spans="1:10" ht="15" hidden="1" customHeight="1" outlineLevel="1">
      <c r="A158" s="299">
        <v>40</v>
      </c>
      <c r="B158">
        <v>2.8476523445685711</v>
      </c>
      <c r="C158">
        <v>2.8476523445685711</v>
      </c>
      <c r="D158">
        <v>2.8476523445685711</v>
      </c>
      <c r="E158">
        <v>2.8476523445685711</v>
      </c>
      <c r="F158">
        <v>2.8476523445685711</v>
      </c>
      <c r="G158">
        <v>2.8476523445685711</v>
      </c>
      <c r="H158">
        <v>2.8476523445685711</v>
      </c>
      <c r="I158">
        <v>2.8476523445685711</v>
      </c>
      <c r="J158">
        <v>2.8476523445685711</v>
      </c>
    </row>
    <row r="159" spans="1:10" ht="15" customHeight="1" collapsed="1">
      <c r="A159" s="369" t="s">
        <v>574</v>
      </c>
      <c r="B159" s="298">
        <f>AVERAGE(B160:B164)</f>
        <v>7.1191308614214271E-2</v>
      </c>
      <c r="C159" s="298">
        <f t="shared" ref="C159:J159" si="131">AVERAGE(C160:C164)</f>
        <v>7.1191308614214271E-2</v>
      </c>
      <c r="D159" s="298">
        <f t="shared" si="131"/>
        <v>7.1191308614214271E-2</v>
      </c>
      <c r="E159" s="298">
        <f t="shared" si="131"/>
        <v>7.1191308614214271E-2</v>
      </c>
      <c r="F159" s="298">
        <f t="shared" si="131"/>
        <v>7.1191308614214271E-2</v>
      </c>
      <c r="G159" s="298">
        <f t="shared" si="131"/>
        <v>7.1191308614214271E-2</v>
      </c>
      <c r="H159" s="298">
        <f t="shared" si="131"/>
        <v>7.1191308614214271E-2</v>
      </c>
      <c r="I159" s="298">
        <f t="shared" si="131"/>
        <v>7.1191308614214271E-2</v>
      </c>
      <c r="J159" s="298">
        <f t="shared" si="131"/>
        <v>7.1191308614214271E-2</v>
      </c>
    </row>
    <row r="160" spans="1:10" ht="15" hidden="1" customHeight="1" outlineLevel="1">
      <c r="A160">
        <v>0</v>
      </c>
      <c r="B160" s="298">
        <f>(B151-B150)/($A151-$A150)</f>
        <v>7.1191308614214271E-2</v>
      </c>
      <c r="C160" s="298">
        <f t="shared" ref="C160:J160" si="132">(C151-C150)/($A151-$A150)</f>
        <v>7.1191308614214271E-2</v>
      </c>
      <c r="D160" s="298">
        <f t="shared" si="132"/>
        <v>7.1191308614214271E-2</v>
      </c>
      <c r="E160" s="298">
        <f t="shared" si="132"/>
        <v>7.1191308614214271E-2</v>
      </c>
      <c r="F160" s="298">
        <f t="shared" si="132"/>
        <v>7.1191308614214271E-2</v>
      </c>
      <c r="G160" s="298">
        <f t="shared" si="132"/>
        <v>7.1191308614214271E-2</v>
      </c>
      <c r="H160" s="298">
        <f t="shared" si="132"/>
        <v>7.1191308614214271E-2</v>
      </c>
      <c r="I160" s="298">
        <f t="shared" si="132"/>
        <v>7.1191308614214271E-2</v>
      </c>
      <c r="J160" s="298">
        <f t="shared" si="132"/>
        <v>7.1191308614214271E-2</v>
      </c>
    </row>
    <row r="161" spans="1:10" ht="15" hidden="1" customHeight="1" outlineLevel="1">
      <c r="A161">
        <v>5</v>
      </c>
      <c r="B161" s="298">
        <f>(B152-B151)/($A152-$A151)</f>
        <v>7.1191308614214271E-2</v>
      </c>
      <c r="C161" s="298">
        <f t="shared" ref="C161:J161" si="133">(C152-C151)/($A152-$A151)</f>
        <v>7.1191308614214271E-2</v>
      </c>
      <c r="D161" s="298">
        <f t="shared" si="133"/>
        <v>7.1191308614214271E-2</v>
      </c>
      <c r="E161" s="298">
        <f t="shared" si="133"/>
        <v>7.1191308614214271E-2</v>
      </c>
      <c r="F161" s="298">
        <f t="shared" si="133"/>
        <v>7.1191308614214271E-2</v>
      </c>
      <c r="G161" s="298">
        <f t="shared" si="133"/>
        <v>7.1191308614214271E-2</v>
      </c>
      <c r="H161" s="298">
        <f t="shared" si="133"/>
        <v>7.1191308614214271E-2</v>
      </c>
      <c r="I161" s="298">
        <f t="shared" si="133"/>
        <v>7.1191308614214271E-2</v>
      </c>
      <c r="J161" s="298">
        <f t="shared" si="133"/>
        <v>7.1191308614214271E-2</v>
      </c>
    </row>
    <row r="162" spans="1:10" ht="15" hidden="1" customHeight="1" outlineLevel="1">
      <c r="A162">
        <v>10</v>
      </c>
      <c r="B162" s="298">
        <f>(B153-B152)/($A153-$A152)</f>
        <v>7.1191308614214271E-2</v>
      </c>
      <c r="C162" s="298">
        <f t="shared" ref="C162:J162" si="134">(C153-C152)/($A153-$A152)</f>
        <v>7.1191308614214271E-2</v>
      </c>
      <c r="D162" s="298">
        <f t="shared" si="134"/>
        <v>7.1191308614214271E-2</v>
      </c>
      <c r="E162" s="298">
        <f t="shared" si="134"/>
        <v>7.1191308614214271E-2</v>
      </c>
      <c r="F162" s="298">
        <f t="shared" si="134"/>
        <v>7.1191308614214271E-2</v>
      </c>
      <c r="G162" s="298">
        <f t="shared" si="134"/>
        <v>7.1191308614214271E-2</v>
      </c>
      <c r="H162" s="298">
        <f t="shared" si="134"/>
        <v>7.1191308614214271E-2</v>
      </c>
      <c r="I162" s="298">
        <f t="shared" si="134"/>
        <v>7.1191308614214271E-2</v>
      </c>
      <c r="J162" s="298">
        <f t="shared" si="134"/>
        <v>7.1191308614214271E-2</v>
      </c>
    </row>
    <row r="163" spans="1:10" ht="15" hidden="1" customHeight="1" outlineLevel="1">
      <c r="A163">
        <v>15</v>
      </c>
      <c r="B163" s="298">
        <f>(B154-B153)/($A154-$A153)</f>
        <v>7.1191308614214271E-2</v>
      </c>
      <c r="C163" s="298">
        <f t="shared" ref="C163:J163" si="135">(C154-C153)/($A154-$A153)</f>
        <v>7.1191308614214271E-2</v>
      </c>
      <c r="D163" s="298">
        <f t="shared" si="135"/>
        <v>7.1191308614214271E-2</v>
      </c>
      <c r="E163" s="298">
        <f t="shared" si="135"/>
        <v>7.1191308614214271E-2</v>
      </c>
      <c r="F163" s="298">
        <f t="shared" si="135"/>
        <v>7.1191308614214271E-2</v>
      </c>
      <c r="G163" s="298">
        <f t="shared" si="135"/>
        <v>7.1191308614214271E-2</v>
      </c>
      <c r="H163" s="298">
        <f t="shared" si="135"/>
        <v>7.1191308614214271E-2</v>
      </c>
      <c r="I163" s="298">
        <f t="shared" si="135"/>
        <v>7.1191308614214271E-2</v>
      </c>
      <c r="J163" s="298">
        <f t="shared" si="135"/>
        <v>7.1191308614214271E-2</v>
      </c>
    </row>
    <row r="164" spans="1:10" ht="15" hidden="1" customHeight="1" outlineLevel="1">
      <c r="A164">
        <v>20</v>
      </c>
      <c r="B164" s="298">
        <f>(B155-B154)/($A155-$A154)</f>
        <v>7.1191308614214271E-2</v>
      </c>
      <c r="C164" s="298">
        <f t="shared" ref="C164:J164" si="136">(C155-C154)/($A155-$A154)</f>
        <v>7.1191308614214271E-2</v>
      </c>
      <c r="D164" s="298">
        <f t="shared" si="136"/>
        <v>7.1191308614214271E-2</v>
      </c>
      <c r="E164" s="298">
        <f t="shared" si="136"/>
        <v>7.1191308614214271E-2</v>
      </c>
      <c r="F164" s="298">
        <f t="shared" si="136"/>
        <v>7.1191308614214271E-2</v>
      </c>
      <c r="G164" s="298">
        <f t="shared" si="136"/>
        <v>7.1191308614214271E-2</v>
      </c>
      <c r="H164" s="298">
        <f t="shared" si="136"/>
        <v>7.1191308614214271E-2</v>
      </c>
      <c r="I164" s="298">
        <f t="shared" si="136"/>
        <v>7.1191308614214271E-2</v>
      </c>
      <c r="J164" s="298">
        <f t="shared" si="136"/>
        <v>7.1191308614214271E-2</v>
      </c>
    </row>
    <row r="165" spans="1:10" ht="15" customHeight="1" collapsed="1"/>
    <row r="175" spans="1:10" ht="15" customHeight="1">
      <c r="A175" s="300" t="s">
        <v>587</v>
      </c>
    </row>
    <row r="185" spans="1:10" ht="15" customHeight="1">
      <c r="A185" s="300" t="s">
        <v>585</v>
      </c>
    </row>
    <row r="186" spans="1:10" ht="15" customHeight="1">
      <c r="A186" t="s">
        <v>575</v>
      </c>
    </row>
    <row r="187" spans="1:10" ht="15" customHeight="1">
      <c r="A187">
        <v>0.06</v>
      </c>
      <c r="B187" s="298">
        <v>3.1E-2</v>
      </c>
      <c r="C187" s="298">
        <v>3.1E-2</v>
      </c>
      <c r="D187" s="298">
        <v>3.1E-2</v>
      </c>
      <c r="E187" s="298">
        <v>3.1E-2</v>
      </c>
      <c r="F187" s="298">
        <v>3.1E-2</v>
      </c>
      <c r="G187" s="298">
        <v>3.1E-2</v>
      </c>
      <c r="H187" s="298">
        <v>3.1E-2</v>
      </c>
      <c r="I187" s="298">
        <v>3.1E-2</v>
      </c>
      <c r="J187" s="298">
        <v>3.1E-2</v>
      </c>
    </row>
    <row r="188" spans="1:10" ht="15" customHeight="1">
      <c r="A188">
        <v>0.1</v>
      </c>
      <c r="B188" s="298">
        <v>3.1187903317670136E-2</v>
      </c>
      <c r="C188" s="298">
        <v>3.1187903317670136E-2</v>
      </c>
      <c r="D188" s="298">
        <v>3.1187903317670136E-2</v>
      </c>
      <c r="E188" s="298">
        <v>3.1187903317670136E-2</v>
      </c>
      <c r="F188" s="298">
        <v>3.1187903317670136E-2</v>
      </c>
      <c r="G188" s="298">
        <v>3.1187903317670136E-2</v>
      </c>
      <c r="H188" s="298">
        <v>3.1187903317670136E-2</v>
      </c>
      <c r="I188" s="298">
        <v>3.1187903317670136E-2</v>
      </c>
      <c r="J188" s="298">
        <v>3.1187903317670136E-2</v>
      </c>
    </row>
    <row r="189" spans="1:10" ht="15" customHeight="1">
      <c r="A189">
        <v>0.3</v>
      </c>
      <c r="B189" s="298">
        <v>3.2529926377576811E-2</v>
      </c>
      <c r="C189" s="298">
        <v>3.2529926377576811E-2</v>
      </c>
      <c r="D189" s="298">
        <v>3.2529926377576811E-2</v>
      </c>
      <c r="E189" s="298">
        <v>3.2529926377576811E-2</v>
      </c>
      <c r="F189" s="298">
        <v>3.2529926377576811E-2</v>
      </c>
      <c r="G189" s="298">
        <v>3.2529926377576811E-2</v>
      </c>
      <c r="H189" s="298">
        <v>3.2529926377576811E-2</v>
      </c>
      <c r="I189" s="298">
        <v>3.2529926377576811E-2</v>
      </c>
      <c r="J189" s="298">
        <v>3.2529926377576811E-2</v>
      </c>
    </row>
    <row r="190" spans="1:10" ht="15" customHeight="1">
      <c r="A190">
        <v>0.5</v>
      </c>
      <c r="B190" s="298">
        <v>3.5832172884505478E-2</v>
      </c>
      <c r="C190" s="298">
        <v>3.5832172884505478E-2</v>
      </c>
      <c r="D190" s="298">
        <v>3.5832172884505478E-2</v>
      </c>
      <c r="E190" s="298">
        <v>3.5832172884505478E-2</v>
      </c>
      <c r="F190" s="298">
        <v>3.5832172884505478E-2</v>
      </c>
      <c r="G190" s="298">
        <v>3.5832172884505478E-2</v>
      </c>
      <c r="H190" s="298">
        <v>3.5832172884505478E-2</v>
      </c>
      <c r="I190" s="298">
        <v>3.5832172884505478E-2</v>
      </c>
      <c r="J190" s="298">
        <v>3.5832172884505478E-2</v>
      </c>
    </row>
    <row r="191" spans="1:10" ht="15" customHeight="1">
      <c r="A191">
        <v>0.7</v>
      </c>
      <c r="B191" s="298">
        <v>4.3452892234767379E-2</v>
      </c>
      <c r="C191" s="298">
        <v>4.3452892234767379E-2</v>
      </c>
      <c r="D191" s="298">
        <v>4.3452892234767379E-2</v>
      </c>
      <c r="E191" s="298">
        <v>4.3452892234767379E-2</v>
      </c>
      <c r="F191" s="298">
        <v>4.3452892234767379E-2</v>
      </c>
      <c r="G191" s="298">
        <v>4.3452892234767379E-2</v>
      </c>
      <c r="H191" s="298">
        <v>4.3452892234767379E-2</v>
      </c>
      <c r="I191" s="298">
        <v>4.3452892234767379E-2</v>
      </c>
      <c r="J191" s="298">
        <v>4.3452892234767379E-2</v>
      </c>
    </row>
    <row r="192" spans="1:10" ht="15" customHeight="1">
      <c r="A192">
        <v>1</v>
      </c>
      <c r="B192" s="298">
        <v>7.1191308614214271E-2</v>
      </c>
      <c r="C192" s="298">
        <v>7.1191308614214271E-2</v>
      </c>
      <c r="D192" s="298">
        <v>7.1191308614214271E-2</v>
      </c>
      <c r="E192" s="298">
        <v>7.1191308614214271E-2</v>
      </c>
      <c r="F192" s="298">
        <v>7.1191308614214271E-2</v>
      </c>
      <c r="G192" s="298">
        <v>7.1191308614214271E-2</v>
      </c>
      <c r="H192" s="298">
        <v>7.1191308614214271E-2</v>
      </c>
      <c r="I192" s="298">
        <v>7.1191308614214271E-2</v>
      </c>
      <c r="J192" s="298">
        <v>7.1191308614214271E-2</v>
      </c>
    </row>
    <row r="193" spans="1:10" ht="15" customHeight="1">
      <c r="A193">
        <v>1.5</v>
      </c>
      <c r="B193" s="298"/>
      <c r="C193" s="298"/>
      <c r="D193" s="298"/>
      <c r="E193" s="298"/>
      <c r="F193" s="298"/>
      <c r="G193" s="298"/>
      <c r="H193" s="298"/>
      <c r="I193" s="298"/>
      <c r="J193" s="298"/>
    </row>
    <row r="194" spans="1:10" ht="15" customHeight="1">
      <c r="A194">
        <v>2</v>
      </c>
      <c r="B194" s="298"/>
      <c r="C194" s="298"/>
      <c r="D194" s="298"/>
      <c r="E194" s="298"/>
      <c r="F194" s="298"/>
      <c r="G194" s="298"/>
      <c r="H194" s="298"/>
      <c r="I194" s="298"/>
      <c r="J194" s="298"/>
    </row>
    <row r="195" spans="1:10" ht="15" customHeight="1">
      <c r="A195">
        <v>3</v>
      </c>
      <c r="B195" s="298"/>
      <c r="C195" s="298"/>
      <c r="D195" s="298"/>
      <c r="E195" s="298"/>
      <c r="F195" s="298"/>
      <c r="G195" s="298"/>
      <c r="H195" s="298"/>
      <c r="I195" s="298"/>
      <c r="J195" s="298"/>
    </row>
    <row r="196" spans="1:10" ht="15" customHeight="1">
      <c r="A196">
        <v>5</v>
      </c>
      <c r="B196" s="298"/>
      <c r="C196" s="298"/>
      <c r="D196" s="298"/>
      <c r="E196" s="298"/>
      <c r="F196" s="298"/>
      <c r="G196" s="298"/>
      <c r="H196" s="298"/>
      <c r="I196" s="298"/>
      <c r="J196" s="298"/>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pageMargins left="0.7" right="0.7" top="0.75" bottom="0.75" header="0.3" footer="0.3"/>
  <pageSetup orientation="portrait" r:id="rId1"/>
  <cellWatches>
    <cellWatch r="B6"/>
  </cellWatche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20" t="s">
        <v>395</v>
      </c>
    </row>
    <row r="4" spans="1:5">
      <c r="A4" s="219" t="s">
        <v>396</v>
      </c>
    </row>
    <row r="5" spans="1:5">
      <c r="B5" s="355"/>
      <c r="C5" s="355"/>
      <c r="D5" s="355"/>
      <c r="E5" s="355"/>
    </row>
    <row r="6" spans="1:5">
      <c r="A6" t="s">
        <v>397</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9" t="s">
        <v>80</v>
      </c>
    </row>
    <row r="34" spans="1:7">
      <c r="B34" t="s">
        <v>398</v>
      </c>
    </row>
    <row r="35" spans="1:7">
      <c r="A35" t="s">
        <v>397</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399</v>
      </c>
      <c r="B43">
        <f>1.5*B44</f>
        <v>7.5</v>
      </c>
    </row>
    <row r="44" spans="1:7">
      <c r="A44" t="s">
        <v>400</v>
      </c>
      <c r="B44">
        <v>5</v>
      </c>
      <c r="C44" t="s">
        <v>203</v>
      </c>
    </row>
    <row r="45" spans="1:7">
      <c r="B45">
        <f>B37*B35</f>
        <v>0.69900000000000007</v>
      </c>
      <c r="C45" t="s">
        <v>401</v>
      </c>
    </row>
    <row r="46" spans="1:7">
      <c r="B46">
        <f>B45*B44</f>
        <v>3.4950000000000001</v>
      </c>
      <c r="C46" t="s">
        <v>203</v>
      </c>
    </row>
    <row r="50" spans="1:3" ht="30">
      <c r="A50" s="220" t="s">
        <v>402</v>
      </c>
    </row>
    <row r="58" spans="1:3">
      <c r="A58" t="s">
        <v>403</v>
      </c>
    </row>
    <row r="59" spans="1:3">
      <c r="A59" t="s">
        <v>84</v>
      </c>
      <c r="B59" t="s">
        <v>404</v>
      </c>
      <c r="C59" t="s">
        <v>405</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406</v>
      </c>
      <c r="C67" s="126">
        <f>AVERAGE(C60:C66)</f>
        <v>1.3999999999999998E-3</v>
      </c>
    </row>
    <row r="69" spans="1:3">
      <c r="A69" t="s">
        <v>407</v>
      </c>
    </row>
    <row r="70" spans="1:3">
      <c r="A70" t="s">
        <v>408</v>
      </c>
      <c r="B70" t="s">
        <v>409</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410</v>
      </c>
      <c r="B85" t="s">
        <v>411</v>
      </c>
    </row>
    <row r="89" spans="1:2">
      <c r="A89" t="s">
        <v>412</v>
      </c>
      <c r="B89" t="s">
        <v>413</v>
      </c>
    </row>
    <row r="90" spans="1:2">
      <c r="A90" t="s">
        <v>414</v>
      </c>
      <c r="B90" t="s">
        <v>415</v>
      </c>
    </row>
    <row r="91" spans="1:2">
      <c r="A91" t="s">
        <v>416</v>
      </c>
      <c r="B91" t="s">
        <v>417</v>
      </c>
    </row>
    <row r="92" spans="1:2">
      <c r="A92" t="s">
        <v>418</v>
      </c>
      <c r="B92" t="s">
        <v>419</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56" t="s">
        <v>420</v>
      </c>
      <c r="C2" s="357"/>
      <c r="D2" s="357"/>
      <c r="E2" s="357"/>
      <c r="F2" s="358"/>
      <c r="G2" s="20"/>
    </row>
    <row r="3" spans="1:27" ht="14.45" customHeight="1" thickBot="1">
      <c r="A3" s="20"/>
      <c r="B3" s="363" t="s">
        <v>421</v>
      </c>
      <c r="C3" s="367"/>
      <c r="D3" s="367"/>
      <c r="E3" s="365"/>
      <c r="F3" s="366"/>
      <c r="G3" s="20"/>
      <c r="J3" s="127" t="s">
        <v>422</v>
      </c>
      <c r="K3" t="s">
        <v>423</v>
      </c>
      <c r="L3" t="s">
        <v>424</v>
      </c>
      <c r="M3"/>
      <c r="N3"/>
      <c r="O3"/>
      <c r="P3"/>
      <c r="Q3"/>
      <c r="R3"/>
      <c r="S3"/>
      <c r="T3"/>
      <c r="U3"/>
      <c r="V3"/>
      <c r="W3"/>
      <c r="X3"/>
      <c r="Y3"/>
      <c r="Z3"/>
      <c r="AA3"/>
    </row>
    <row r="4" spans="1:27">
      <c r="A4" s="20"/>
      <c r="B4" s="84" t="s">
        <v>425</v>
      </c>
      <c r="C4" s="27">
        <v>100</v>
      </c>
      <c r="D4" s="362" t="s">
        <v>116</v>
      </c>
      <c r="E4" s="27">
        <f>C4*(3600/1000)</f>
        <v>360</v>
      </c>
      <c r="F4" s="362" t="s">
        <v>426</v>
      </c>
      <c r="G4" s="20"/>
      <c r="J4" s="128">
        <v>3.5714285714285713E-3</v>
      </c>
      <c r="K4" s="126">
        <v>0</v>
      </c>
      <c r="L4" s="126">
        <v>0</v>
      </c>
      <c r="M4"/>
      <c r="N4"/>
      <c r="O4"/>
      <c r="P4"/>
      <c r="Q4"/>
      <c r="R4"/>
      <c r="S4"/>
      <c r="T4"/>
      <c r="U4"/>
      <c r="V4"/>
      <c r="W4"/>
      <c r="X4"/>
      <c r="Y4"/>
      <c r="Z4"/>
      <c r="AA4"/>
    </row>
    <row r="5" spans="1:27">
      <c r="A5" s="20"/>
      <c r="B5" s="85" t="s">
        <v>427</v>
      </c>
      <c r="C5" s="20">
        <v>10</v>
      </c>
      <c r="D5" s="360"/>
      <c r="E5" s="20">
        <f>C5*(3600/1000)</f>
        <v>36</v>
      </c>
      <c r="F5" s="360"/>
      <c r="G5" s="20"/>
      <c r="J5" s="128">
        <v>1.0714285714285714E-2</v>
      </c>
      <c r="K5" s="126">
        <v>0</v>
      </c>
      <c r="L5" s="126">
        <v>0</v>
      </c>
      <c r="M5"/>
      <c r="N5"/>
      <c r="O5"/>
      <c r="P5"/>
      <c r="Q5"/>
      <c r="R5"/>
      <c r="S5"/>
      <c r="T5"/>
      <c r="U5"/>
      <c r="V5"/>
      <c r="W5"/>
      <c r="X5"/>
      <c r="Y5"/>
      <c r="Z5"/>
      <c r="AA5"/>
    </row>
    <row r="6" spans="1:27" ht="15" thickBot="1">
      <c r="A6" s="20"/>
      <c r="B6" s="86" t="s">
        <v>428</v>
      </c>
      <c r="C6" s="24">
        <v>4</v>
      </c>
      <c r="D6" s="361"/>
      <c r="E6" s="24">
        <f>C6*(3600/1000)</f>
        <v>14.4</v>
      </c>
      <c r="F6" s="361"/>
      <c r="G6" s="20"/>
      <c r="J6" s="128">
        <v>1.7857142857142856E-2</v>
      </c>
      <c r="K6" s="126">
        <v>0</v>
      </c>
      <c r="L6" s="126">
        <v>0</v>
      </c>
      <c r="M6"/>
    </row>
    <row r="7" spans="1:27" ht="15" thickBot="1">
      <c r="A7" s="20"/>
      <c r="B7" s="363" t="s">
        <v>429</v>
      </c>
      <c r="C7" s="364"/>
      <c r="D7" s="364"/>
      <c r="E7" s="365"/>
      <c r="F7" s="366"/>
      <c r="G7" s="20"/>
      <c r="J7" s="128">
        <v>2.4999999999999998E-2</v>
      </c>
      <c r="K7" s="126">
        <v>0</v>
      </c>
      <c r="L7" s="126">
        <v>0</v>
      </c>
      <c r="M7"/>
    </row>
    <row r="8" spans="1:27">
      <c r="A8" s="20"/>
      <c r="B8" s="84" t="s">
        <v>430</v>
      </c>
      <c r="C8" s="27"/>
      <c r="D8" s="362" t="s">
        <v>431</v>
      </c>
      <c r="E8" s="27"/>
      <c r="F8" s="362" t="s">
        <v>201</v>
      </c>
      <c r="G8" s="20"/>
      <c r="J8" s="128">
        <v>3.214285714285714E-2</v>
      </c>
      <c r="K8" s="126">
        <v>0</v>
      </c>
      <c r="L8" s="126">
        <v>0</v>
      </c>
      <c r="M8"/>
    </row>
    <row r="9" spans="1:27">
      <c r="A9" s="20"/>
      <c r="B9" s="85" t="s">
        <v>432</v>
      </c>
      <c r="C9" s="20"/>
      <c r="D9" s="360"/>
      <c r="E9" s="20"/>
      <c r="F9" s="360"/>
      <c r="G9" s="20"/>
      <c r="J9" s="128">
        <v>3.9285714285714285E-2</v>
      </c>
      <c r="K9" s="126">
        <v>0</v>
      </c>
      <c r="L9" s="126">
        <v>0</v>
      </c>
      <c r="M9"/>
    </row>
    <row r="10" spans="1:27" ht="15" thickBot="1">
      <c r="A10" s="20"/>
      <c r="B10" s="85" t="s">
        <v>433</v>
      </c>
      <c r="C10" s="24"/>
      <c r="D10" s="361"/>
      <c r="E10" s="24"/>
      <c r="F10" s="360"/>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434</v>
      </c>
      <c r="C12" s="116">
        <f>Statistics!C10</f>
        <v>9.8000000000000007</v>
      </c>
      <c r="D12" s="117" t="s">
        <v>302</v>
      </c>
      <c r="E12" s="116"/>
      <c r="F12" s="118"/>
      <c r="G12" s="20"/>
      <c r="J12" s="128">
        <v>6.0714285714285721E-2</v>
      </c>
      <c r="K12" s="126">
        <v>0.9353748800143421</v>
      </c>
      <c r="L12" s="126">
        <v>1.1921878054243182</v>
      </c>
      <c r="M12"/>
    </row>
    <row r="13" spans="1:27">
      <c r="A13" s="20"/>
      <c r="B13" s="115" t="s">
        <v>435</v>
      </c>
      <c r="C13" s="119">
        <f>Statistics!C13</f>
        <v>63.756230218295386</v>
      </c>
      <c r="D13" s="117" t="s">
        <v>436</v>
      </c>
      <c r="E13" s="116"/>
      <c r="F13" s="118"/>
      <c r="G13" s="20"/>
      <c r="J13" s="128">
        <v>6.7857142857142866E-2</v>
      </c>
      <c r="K13" s="126">
        <v>0.89557169363075317</v>
      </c>
      <c r="L13" s="126">
        <v>1.1414564094488155</v>
      </c>
      <c r="M13"/>
    </row>
    <row r="14" spans="1:27" ht="28.15" customHeight="1">
      <c r="A14" s="20"/>
      <c r="B14" s="106" t="s">
        <v>437</v>
      </c>
      <c r="C14" s="67">
        <f>SQRT(1.4*287*C15)</f>
        <v>0</v>
      </c>
      <c r="D14" s="113" t="s">
        <v>116</v>
      </c>
      <c r="E14" s="67"/>
      <c r="F14" s="70" t="s">
        <v>201</v>
      </c>
      <c r="G14" s="20"/>
      <c r="J14" s="128">
        <v>7.5000000000000011E-2</v>
      </c>
      <c r="K14" s="126">
        <v>0.85576850724716402</v>
      </c>
      <c r="L14" s="126">
        <v>1.0907250134733124</v>
      </c>
      <c r="M14"/>
    </row>
    <row r="15" spans="1:27">
      <c r="A15" s="20"/>
      <c r="B15" s="106" t="s">
        <v>438</v>
      </c>
      <c r="C15" s="67">
        <f>Statistics!C12</f>
        <v>0</v>
      </c>
      <c r="D15" s="113" t="s">
        <v>119</v>
      </c>
      <c r="E15" s="67">
        <f>C15-273.15</f>
        <v>-273.14999999999998</v>
      </c>
      <c r="F15" s="70" t="s">
        <v>439</v>
      </c>
      <c r="G15" s="20"/>
      <c r="J15" s="128">
        <v>8.2142857142857156E-2</v>
      </c>
      <c r="K15" s="126">
        <v>0.81596532086357498</v>
      </c>
      <c r="L15" s="126">
        <v>1.0399936174978095</v>
      </c>
      <c r="M15"/>
    </row>
    <row r="16" spans="1:27" ht="15.75" thickBot="1">
      <c r="A16" s="20"/>
      <c r="B16" s="124" t="s">
        <v>440</v>
      </c>
      <c r="C16" s="68">
        <v>420</v>
      </c>
      <c r="D16" s="114" t="s">
        <v>204</v>
      </c>
      <c r="E16" s="68">
        <f>C16/1000</f>
        <v>0.42</v>
      </c>
      <c r="F16" s="71" t="s">
        <v>441</v>
      </c>
      <c r="G16" s="20"/>
      <c r="J16" s="128">
        <v>8.9285714285714302E-2</v>
      </c>
      <c r="K16" s="126">
        <v>0.77616213447998594</v>
      </c>
      <c r="L16" s="126">
        <v>0.98926222152230658</v>
      </c>
      <c r="M16"/>
    </row>
    <row r="17" spans="1:13">
      <c r="A17" s="20"/>
      <c r="B17" s="85" t="s">
        <v>442</v>
      </c>
      <c r="C17" s="64">
        <f>DEGREES(ATAN($C$6/$C$4))</f>
        <v>2.2906100426385296</v>
      </c>
      <c r="D17" s="110" t="s">
        <v>224</v>
      </c>
      <c r="E17" s="64">
        <f>ATAN($C$5/$C$4)</f>
        <v>9.9668652491162038E-2</v>
      </c>
      <c r="F17" s="360" t="s">
        <v>443</v>
      </c>
      <c r="G17" s="20"/>
      <c r="J17" s="128">
        <v>9.6428571428571447E-2</v>
      </c>
      <c r="K17" s="126">
        <v>0.7363589480963969</v>
      </c>
      <c r="L17" s="126">
        <v>0.93853082554680367</v>
      </c>
      <c r="M17"/>
    </row>
    <row r="18" spans="1:13" ht="15" thickBot="1">
      <c r="A18" s="20"/>
      <c r="B18" s="86" t="s">
        <v>444</v>
      </c>
      <c r="C18" s="65">
        <f>DEGREES(ATAN($C$5/$C$4))</f>
        <v>5.710593137499643</v>
      </c>
      <c r="D18" s="111" t="s">
        <v>224</v>
      </c>
      <c r="E18" s="65">
        <f>ATAN($C$6/$C$4)</f>
        <v>3.9978687123290044E-2</v>
      </c>
      <c r="F18" s="361"/>
      <c r="G18" s="20"/>
      <c r="J18" s="128">
        <v>0.10357142857142859</v>
      </c>
      <c r="K18" s="126">
        <v>0.69655576171280786</v>
      </c>
      <c r="L18" s="126">
        <v>0.88779942957130065</v>
      </c>
      <c r="M18"/>
    </row>
    <row r="19" spans="1:13">
      <c r="A19" s="20"/>
      <c r="B19" s="84" t="s">
        <v>445</v>
      </c>
      <c r="C19" s="27"/>
      <c r="D19" s="362"/>
      <c r="E19" s="27"/>
      <c r="F19" s="362" t="s">
        <v>443</v>
      </c>
      <c r="G19" s="20"/>
      <c r="J19" s="128">
        <v>0.11071428571428574</v>
      </c>
      <c r="K19" s="126">
        <v>0.65675257532921893</v>
      </c>
      <c r="L19" s="126">
        <v>0.83706803359579784</v>
      </c>
      <c r="M19"/>
    </row>
    <row r="20" spans="1:13">
      <c r="A20" s="20"/>
      <c r="B20" s="85" t="s">
        <v>446</v>
      </c>
      <c r="C20" s="20"/>
      <c r="D20" s="360"/>
      <c r="E20" s="20"/>
      <c r="F20" s="360"/>
      <c r="G20" s="20"/>
      <c r="J20" s="128">
        <v>0.11785714285714288</v>
      </c>
      <c r="K20" s="126">
        <v>0.61694938894562978</v>
      </c>
      <c r="L20" s="126">
        <v>0.78633663762029482</v>
      </c>
      <c r="M20"/>
    </row>
    <row r="21" spans="1:13" ht="15" thickBot="1">
      <c r="A21" s="20"/>
      <c r="B21" s="86" t="s">
        <v>447</v>
      </c>
      <c r="C21" s="24"/>
      <c r="D21" s="361"/>
      <c r="E21" s="24"/>
      <c r="F21" s="361"/>
      <c r="G21" s="20"/>
      <c r="J21" s="128">
        <v>0.12500000000000003</v>
      </c>
      <c r="K21" s="126">
        <v>0.57714620256204074</v>
      </c>
      <c r="L21" s="126">
        <v>0.73560524164479191</v>
      </c>
      <c r="M21"/>
    </row>
    <row r="22" spans="1:13">
      <c r="A22" s="20"/>
      <c r="B22" s="84" t="s">
        <v>448</v>
      </c>
      <c r="C22" s="27"/>
      <c r="D22" s="362"/>
      <c r="E22" s="27"/>
      <c r="F22" s="362" t="s">
        <v>449</v>
      </c>
      <c r="G22" s="20"/>
      <c r="J22" s="128">
        <v>0.13214285714285717</v>
      </c>
      <c r="K22" s="126">
        <v>0.53734301617845182</v>
      </c>
      <c r="L22" s="126">
        <v>0.68487384566928911</v>
      </c>
      <c r="M22"/>
    </row>
    <row r="23" spans="1:13">
      <c r="A23" s="20"/>
      <c r="B23" s="85" t="s">
        <v>450</v>
      </c>
      <c r="C23" s="20"/>
      <c r="D23" s="360"/>
      <c r="E23" s="20"/>
      <c r="F23" s="360"/>
      <c r="G23" s="20"/>
      <c r="J23" s="128">
        <v>0.13928571428571432</v>
      </c>
      <c r="K23" s="126">
        <v>0.49753982979486266</v>
      </c>
      <c r="L23" s="126">
        <v>0.63414244969378608</v>
      </c>
      <c r="M23"/>
    </row>
    <row r="24" spans="1:13" ht="15" thickBot="1">
      <c r="A24" s="20"/>
      <c r="B24" s="86" t="s">
        <v>451</v>
      </c>
      <c r="C24" s="24"/>
      <c r="D24" s="361"/>
      <c r="E24" s="24"/>
      <c r="F24" s="361"/>
      <c r="G24" s="20"/>
      <c r="J24" s="128">
        <v>0.14642857142857146</v>
      </c>
      <c r="K24" s="126">
        <v>0.45773664341127362</v>
      </c>
      <c r="L24" s="126">
        <v>0.58341105371828317</v>
      </c>
      <c r="M24"/>
    </row>
    <row r="25" spans="1:13">
      <c r="A25" s="20"/>
      <c r="B25" s="107"/>
      <c r="C25" s="107"/>
      <c r="D25" s="107"/>
      <c r="E25" s="64"/>
      <c r="F25" s="20"/>
      <c r="G25" s="20"/>
      <c r="J25" s="128" t="s">
        <v>452</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59" t="s">
        <v>453</v>
      </c>
      <c r="C43" s="359"/>
      <c r="D43" s="359"/>
      <c r="E43" s="359"/>
      <c r="F43" s="359"/>
    </row>
    <row r="44" spans="1:32" s="1" customFormat="1" ht="58.15" customHeight="1">
      <c r="B44" s="316" t="s">
        <v>454</v>
      </c>
      <c r="C44" s="316"/>
      <c r="D44" s="316"/>
      <c r="E44" s="316"/>
      <c r="F44" s="316"/>
      <c r="H44" s="108"/>
      <c r="J44" s="1" t="s">
        <v>455</v>
      </c>
      <c r="K44" s="1" t="s">
        <v>456</v>
      </c>
      <c r="L44" s="1" t="s">
        <v>457</v>
      </c>
      <c r="M44" s="1" t="s">
        <v>458</v>
      </c>
      <c r="N44" s="1" t="s">
        <v>459</v>
      </c>
      <c r="O44" s="1" t="s">
        <v>460</v>
      </c>
      <c r="P44" s="1" t="s">
        <v>461</v>
      </c>
      <c r="Q44" s="1" t="s">
        <v>462</v>
      </c>
      <c r="R44" s="1" t="s">
        <v>463</v>
      </c>
      <c r="S44" s="1" t="s">
        <v>464</v>
      </c>
      <c r="T44" s="1" t="s">
        <v>465</v>
      </c>
      <c r="U44" s="1" t="s">
        <v>466</v>
      </c>
      <c r="V44" s="1" t="s">
        <v>467</v>
      </c>
      <c r="W44" s="1" t="s">
        <v>468</v>
      </c>
      <c r="X44" s="1" t="s">
        <v>469</v>
      </c>
      <c r="Y44" s="1" t="s">
        <v>470</v>
      </c>
      <c r="Z44" s="1" t="s">
        <v>471</v>
      </c>
      <c r="AA44" s="1" t="s">
        <v>396</v>
      </c>
      <c r="AB44" s="1" t="s">
        <v>472</v>
      </c>
      <c r="AC44" s="1" t="s">
        <v>473</v>
      </c>
      <c r="AD44" s="1" t="s">
        <v>474</v>
      </c>
      <c r="AE44" s="1" t="s">
        <v>475</v>
      </c>
      <c r="AF44" s="1" t="s">
        <v>476</v>
      </c>
    </row>
    <row r="45" spans="1:32">
      <c r="B45" s="1" t="s">
        <v>477</v>
      </c>
      <c r="C45" s="1">
        <v>0</v>
      </c>
      <c r="D45" s="1" t="s">
        <v>443</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478</v>
      </c>
      <c r="C46" s="1">
        <v>0</v>
      </c>
      <c r="D46" s="1" t="s">
        <v>224</v>
      </c>
      <c r="E46" s="13">
        <f>RADIANS(C46)</f>
        <v>0</v>
      </c>
      <c r="F46" s="13" t="s">
        <v>443</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479</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480</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443</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481</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482</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483</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484</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485</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486</v>
      </c>
      <c r="C62" s="1">
        <f>(2*PI()*COS(E52))/(SQRT(1+((2*PI()*COS(E52))/(PI()*C56))^2)+((2*PI()*COS(E52))/(PI()*$C$56)))</f>
        <v>2.0943951023931953</v>
      </c>
      <c r="D62" s="1" t="s">
        <v>201</v>
      </c>
      <c r="E62" s="13">
        <f>2*PI()</f>
        <v>6.2831853071795862</v>
      </c>
      <c r="F62" s="13" t="s">
        <v>487</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488</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489</v>
      </c>
      <c r="C65" s="1">
        <v>20</v>
      </c>
      <c r="D65" s="1" t="s">
        <v>116</v>
      </c>
      <c r="E65" s="13">
        <f>C65*(3600/1000)</f>
        <v>72</v>
      </c>
      <c r="F65" s="13" t="s">
        <v>426</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490</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491</v>
      </c>
      <c r="C67" s="1">
        <f>(C54-C66)/2</f>
        <v>11</v>
      </c>
      <c r="D67" s="1" t="s">
        <v>492</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493</v>
      </c>
      <c r="B1" t="s">
        <v>494</v>
      </c>
      <c r="C1">
        <v>18</v>
      </c>
    </row>
    <row r="2" spans="1:4" ht="15" thickBot="1">
      <c r="B2" t="s">
        <v>495</v>
      </c>
      <c r="C2" t="s">
        <v>496</v>
      </c>
      <c r="D2" t="s">
        <v>497</v>
      </c>
    </row>
    <row r="3" spans="1:4">
      <c r="A3" s="226" t="s">
        <v>333</v>
      </c>
      <c r="B3" s="227" t="s">
        <v>498</v>
      </c>
      <c r="C3" s="227" t="s">
        <v>499</v>
      </c>
      <c r="D3" s="228" t="s">
        <v>500</v>
      </c>
    </row>
    <row r="4" spans="1:4" ht="15" thickBot="1">
      <c r="A4" s="229"/>
      <c r="B4" s="230" t="s">
        <v>501</v>
      </c>
      <c r="C4" s="230" t="s">
        <v>502</v>
      </c>
      <c r="D4" s="231" t="s">
        <v>503</v>
      </c>
    </row>
    <row r="5" spans="1:4">
      <c r="A5" s="226"/>
      <c r="B5" s="227" t="s">
        <v>504</v>
      </c>
      <c r="C5" s="227" t="s">
        <v>505</v>
      </c>
      <c r="D5" s="228" t="s">
        <v>506</v>
      </c>
    </row>
    <row r="6" spans="1:4">
      <c r="A6" s="232" t="s">
        <v>507</v>
      </c>
      <c r="B6" t="s">
        <v>508</v>
      </c>
      <c r="C6" t="s">
        <v>509</v>
      </c>
      <c r="D6" s="233" t="s">
        <v>510</v>
      </c>
    </row>
    <row r="7" spans="1:4" ht="15" thickBot="1">
      <c r="A7" s="229"/>
      <c r="B7" s="230" t="s">
        <v>511</v>
      </c>
      <c r="C7" s="230" t="s">
        <v>512</v>
      </c>
      <c r="D7" s="231" t="s">
        <v>513</v>
      </c>
    </row>
    <row r="8" spans="1:4">
      <c r="A8" s="226"/>
      <c r="B8" s="227" t="s">
        <v>514</v>
      </c>
      <c r="C8" s="227" t="s">
        <v>515</v>
      </c>
      <c r="D8" s="228" t="s">
        <v>516</v>
      </c>
    </row>
    <row r="9" spans="1:4">
      <c r="A9" s="232" t="s">
        <v>517</v>
      </c>
      <c r="B9" t="s">
        <v>518</v>
      </c>
      <c r="C9" t="s">
        <v>519</v>
      </c>
      <c r="D9" s="233" t="s">
        <v>520</v>
      </c>
    </row>
    <row r="10" spans="1:4" ht="15" thickBot="1">
      <c r="A10" s="229"/>
      <c r="B10" s="230" t="s">
        <v>521</v>
      </c>
      <c r="C10" s="230" t="s">
        <v>522</v>
      </c>
      <c r="D10" s="231" t="s">
        <v>523</v>
      </c>
    </row>
    <row r="11" spans="1:4">
      <c r="A11" s="226"/>
      <c r="B11" s="227" t="s">
        <v>524</v>
      </c>
      <c r="C11" s="227" t="s">
        <v>525</v>
      </c>
      <c r="D11" s="228" t="s">
        <v>526</v>
      </c>
    </row>
    <row r="12" spans="1:4">
      <c r="A12" s="232" t="s">
        <v>527</v>
      </c>
      <c r="B12" t="s">
        <v>528</v>
      </c>
      <c r="C12" t="s">
        <v>529</v>
      </c>
      <c r="D12" s="233" t="s">
        <v>530</v>
      </c>
    </row>
    <row r="13" spans="1:4" ht="15" thickBot="1">
      <c r="A13" s="229"/>
      <c r="B13" s="230" t="s">
        <v>531</v>
      </c>
      <c r="C13" s="230" t="s">
        <v>532</v>
      </c>
      <c r="D13" s="231" t="s">
        <v>533</v>
      </c>
    </row>
    <row r="14" spans="1:4">
      <c r="A14" s="226"/>
      <c r="B14" s="227" t="s">
        <v>534</v>
      </c>
      <c r="C14" s="227" t="s">
        <v>535</v>
      </c>
      <c r="D14" s="228" t="s">
        <v>536</v>
      </c>
    </row>
    <row r="15" spans="1:4">
      <c r="A15" s="232" t="s">
        <v>537</v>
      </c>
      <c r="B15" t="s">
        <v>538</v>
      </c>
      <c r="C15" t="s">
        <v>539</v>
      </c>
      <c r="D15" s="233" t="s">
        <v>540</v>
      </c>
    </row>
    <row r="16" spans="1:4" ht="15" thickBot="1">
      <c r="A16" s="229"/>
      <c r="B16" s="230" t="s">
        <v>541</v>
      </c>
      <c r="C16" s="230" t="s">
        <v>542</v>
      </c>
      <c r="D16" s="231" t="s">
        <v>543</v>
      </c>
    </row>
    <row r="17" spans="1:11">
      <c r="A17" s="226"/>
      <c r="B17" s="227" t="s">
        <v>544</v>
      </c>
      <c r="C17" s="227" t="s">
        <v>545</v>
      </c>
      <c r="D17" s="228" t="s">
        <v>546</v>
      </c>
      <c r="K17">
        <f>DEGREES(ATAN(1/20))</f>
        <v>2.8624052261117479</v>
      </c>
    </row>
    <row r="18" spans="1:11">
      <c r="A18" s="232" t="s">
        <v>547</v>
      </c>
      <c r="B18" t="s">
        <v>548</v>
      </c>
      <c r="C18" t="s">
        <v>549</v>
      </c>
      <c r="D18" s="233" t="s">
        <v>550</v>
      </c>
    </row>
    <row r="19" spans="1:11" ht="15" thickBot="1">
      <c r="A19" s="229"/>
      <c r="B19" s="230" t="s">
        <v>551</v>
      </c>
      <c r="C19" s="230" t="s">
        <v>552</v>
      </c>
      <c r="D19" s="231" t="s">
        <v>553</v>
      </c>
    </row>
    <row r="20" spans="1:11">
      <c r="A20" s="226"/>
      <c r="B20" s="227" t="s">
        <v>554</v>
      </c>
      <c r="C20" s="227" t="s">
        <v>555</v>
      </c>
      <c r="D20" s="228" t="s">
        <v>556</v>
      </c>
    </row>
    <row r="21" spans="1:11">
      <c r="A21" s="232" t="s">
        <v>557</v>
      </c>
      <c r="B21" t="s">
        <v>558</v>
      </c>
      <c r="C21" t="s">
        <v>559</v>
      </c>
      <c r="D21" s="233" t="s">
        <v>560</v>
      </c>
    </row>
    <row r="22" spans="1:11" ht="15" thickBot="1">
      <c r="A22" s="229"/>
      <c r="B22" s="230" t="s">
        <v>561</v>
      </c>
      <c r="C22" s="230" t="s">
        <v>562</v>
      </c>
      <c r="D22" s="231" t="s">
        <v>563</v>
      </c>
    </row>
    <row r="24" spans="1:11">
      <c r="A24" t="s">
        <v>564</v>
      </c>
    </row>
    <row r="25" spans="1:11">
      <c r="A25" t="s">
        <v>193</v>
      </c>
    </row>
    <row r="26" spans="1:11">
      <c r="A26" t="s">
        <v>194</v>
      </c>
    </row>
    <row r="27" spans="1:11">
      <c r="A27" t="s">
        <v>565</v>
      </c>
    </row>
    <row r="28" spans="1:11">
      <c r="A28" t="s">
        <v>566</v>
      </c>
    </row>
    <row r="29" spans="1:11">
      <c r="A29" t="s">
        <v>567</v>
      </c>
    </row>
    <row r="30" spans="1:11">
      <c r="A30" t="s">
        <v>568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RocketData</vt:lpstr>
      <vt:lpstr>Aerodynamic design</vt:lpstr>
      <vt:lpstr>Stability</vt:lpstr>
      <vt:lpstr>CFD fins</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2025-07-09T22:35:08Z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