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ustomProperty2.bin" ContentType="application/vnd.openxmlformats-officedocument.spreadsheetml.customProperty"/>
  <Override PartName="/xl/comments2.xml" ContentType="application/vnd.openxmlformats-officedocument.spreadsheetml.comments+xml"/>
  <Override PartName="/xl/customProperty3.bin" ContentType="application/vnd.openxmlformats-officedocument.spreadsheetml.customProperty"/>
  <Override PartName="/xl/drawings/drawing2.xml" ContentType="application/vnd.openxmlformats-officedocument.drawing+xml"/>
  <Override PartName="/xl/tables/table1.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ustomProperty4.bin" ContentType="application/vnd.openxmlformats-officedocument.spreadsheetml.customProperty"/>
  <Override PartName="/xl/drawings/drawing3.xml" ContentType="application/vnd.openxmlformats-officedocument.drawing+xml"/>
  <Override PartName="/xl/comments3.xml" ContentType="application/vnd.openxmlformats-officedocument.spreadsheetml.comment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comments4.xml" ContentType="application/vnd.openxmlformats-officedocument.spreadsheetml.comments+xml"/>
  <Override PartName="/xl/customProperty5.bin" ContentType="application/vnd.openxmlformats-officedocument.spreadsheetml.customProperty"/>
  <Override PartName="/xl/drawings/drawing5.xml" ContentType="application/vnd.openxmlformats-officedocument.drawing+xml"/>
  <Override PartName="/xl/customProperty6.bin" ContentType="application/vnd.openxmlformats-officedocument.spreadsheetml.customProperty"/>
  <Override PartName="/xl/drawings/drawing6.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xml" ContentType="application/vnd.openxmlformats-officedocument.spreadsheetml.pivotTable+xml"/>
  <Override PartName="/xl/customProperty7.bin" ContentType="application/vnd.openxmlformats-officedocument.spreadsheetml.customProperty"/>
  <Override PartName="/xl/drawings/drawing7.xml" ContentType="application/vnd.openxmlformats-officedocument.drawing+xml"/>
  <Override PartName="/xl/tables/table2.xml" ContentType="application/vnd.openxmlformats-officedocument.spreadsheetml.table+xml"/>
  <Override PartName="/xl/comments5.xml" ContentType="application/vnd.openxmlformats-officedocument.spreadsheetml.comments+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leonardo.valadez\Documents\Repositorios\Recovery-systems\"/>
    </mc:Choice>
  </mc:AlternateContent>
  <bookViews>
    <workbookView xWindow="0" yWindow="0" windowWidth="21435" windowHeight="10215" tabRatio="864" firstSheet="1" activeTab="6"/>
  </bookViews>
  <sheets>
    <sheet name="Manual rev.1" sheetId="4" state="hidden" r:id="rId1"/>
    <sheet name="Statistics" sheetId="8" r:id="rId2"/>
    <sheet name="Geometry" sheetId="1" r:id="rId3"/>
    <sheet name="Forces balance" sheetId="16" r:id="rId4"/>
    <sheet name="Worst Load" sheetId="18" r:id="rId5"/>
    <sheet name="FinAeroDesign 2.0" sheetId="17" r:id="rId6"/>
    <sheet name="CFD fins" sheetId="9" r:id="rId7"/>
    <sheet name="RocketData" sheetId="14" r:id="rId8"/>
    <sheet name="Aerodynamic design" sheetId="13" r:id="rId9"/>
    <sheet name="Stability" sheetId="19" r:id="rId10"/>
    <sheet name="CFD forebody" sheetId="2" r:id="rId11"/>
    <sheet name="CFD fuselage" sheetId="10" state="hidden" r:id="rId12"/>
    <sheet name="CFD boat-tail" sheetId="11" state="hidden" r:id="rId13"/>
    <sheet name="CFD rocket" sheetId="12" state="hidden" r:id="rId14"/>
    <sheet name="OpenRocket" sheetId="6" state="hidden" r:id="rId15"/>
  </sheets>
  <definedNames>
    <definedName name="_xlnm._FilterDatabase" localSheetId="1" hidden="1">Statistics!$A$1:$E$8</definedName>
    <definedName name="Airflow">'FinAeroDesign 2.0'!$B$2</definedName>
    <definedName name="AoAfins">'FinAeroDesign 2.0'!$B$9</definedName>
    <definedName name="AoSfins">'FinAeroDesign 2.0'!$B$10</definedName>
    <definedName name="CrossSecAreaRocket">Geometry!$C$8</definedName>
    <definedName name="DiameterRocket">Geometry!$C$4</definedName>
    <definedName name="LargeOgive">Geometry!$P$26</definedName>
    <definedName name="LengthRocket">Geometry!$C$3</definedName>
    <definedName name="Rogive" comment="R for ogive">Geometry!$P$23</definedName>
  </definedNames>
  <calcPr calcId="152511"/>
  <pivotCaches>
    <pivotCache cacheId="0" r:id="rId1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66" i="17" l="1"/>
  <c r="J166" i="17"/>
  <c r="K165" i="17"/>
  <c r="J165" i="17"/>
  <c r="K164" i="17"/>
  <c r="J164" i="17"/>
  <c r="K163" i="17"/>
  <c r="J163" i="17"/>
  <c r="J161" i="17" s="1"/>
  <c r="K162" i="17"/>
  <c r="J162" i="17"/>
  <c r="K161" i="17"/>
  <c r="K124" i="17"/>
  <c r="J124" i="17"/>
  <c r="K100" i="17"/>
  <c r="J100" i="17"/>
  <c r="K94" i="17"/>
  <c r="J94" i="17"/>
  <c r="K55" i="17"/>
  <c r="J55" i="17"/>
  <c r="K48" i="17"/>
  <c r="K54" i="17" s="1"/>
  <c r="K57" i="17" s="1"/>
  <c r="J48" i="17"/>
  <c r="J54" i="17" s="1"/>
  <c r="J57" i="17" s="1"/>
  <c r="K44" i="17"/>
  <c r="J44" i="17"/>
  <c r="K42" i="17"/>
  <c r="J42" i="17"/>
  <c r="K40" i="17"/>
  <c r="J40" i="17"/>
  <c r="J50" i="17" s="1"/>
  <c r="K38" i="17"/>
  <c r="K103" i="17" s="1"/>
  <c r="J38" i="17"/>
  <c r="J103" i="17" s="1"/>
  <c r="K35" i="17"/>
  <c r="K36" i="17" s="1"/>
  <c r="K33" i="17"/>
  <c r="K45" i="17" s="1"/>
  <c r="K46" i="17" s="1"/>
  <c r="J33" i="17"/>
  <c r="J45" i="17" s="1"/>
  <c r="J46" i="17" s="1"/>
  <c r="K30" i="17"/>
  <c r="J30" i="17"/>
  <c r="J18" i="17"/>
  <c r="K17" i="17"/>
  <c r="K18" i="17" s="1"/>
  <c r="J17" i="17"/>
  <c r="J19" i="17" s="1"/>
  <c r="J15" i="17"/>
  <c r="J16" i="17" s="1"/>
  <c r="K12" i="17"/>
  <c r="J12" i="17"/>
  <c r="K11" i="17"/>
  <c r="J11" i="17"/>
  <c r="J8" i="17"/>
  <c r="J2" i="17" s="1"/>
  <c r="B17" i="17"/>
  <c r="B15" i="17"/>
  <c r="B18" i="17"/>
  <c r="I166" i="17"/>
  <c r="H166" i="17"/>
  <c r="G166" i="17"/>
  <c r="F166" i="17"/>
  <c r="E166" i="17"/>
  <c r="D166" i="17"/>
  <c r="C166" i="17"/>
  <c r="I165" i="17"/>
  <c r="H165" i="17"/>
  <c r="G165" i="17"/>
  <c r="F165" i="17"/>
  <c r="E165" i="17"/>
  <c r="D165" i="17"/>
  <c r="C165" i="17"/>
  <c r="I164" i="17"/>
  <c r="H164" i="17"/>
  <c r="G164" i="17"/>
  <c r="F164" i="17"/>
  <c r="E164" i="17"/>
  <c r="D164" i="17"/>
  <c r="C164" i="17"/>
  <c r="I163" i="17"/>
  <c r="H163" i="17"/>
  <c r="G163" i="17"/>
  <c r="F163" i="17"/>
  <c r="E163" i="17"/>
  <c r="D163" i="17"/>
  <c r="C163" i="17"/>
  <c r="I162" i="17"/>
  <c r="H162" i="17"/>
  <c r="G162" i="17"/>
  <c r="F162" i="17"/>
  <c r="E162" i="17"/>
  <c r="D162" i="17"/>
  <c r="C162" i="17"/>
  <c r="I100" i="17"/>
  <c r="H100" i="17"/>
  <c r="G100" i="17"/>
  <c r="F100" i="17"/>
  <c r="E100" i="17"/>
  <c r="D100" i="17"/>
  <c r="C100" i="17"/>
  <c r="I94" i="17"/>
  <c r="H94" i="17"/>
  <c r="G94" i="17"/>
  <c r="F94" i="17"/>
  <c r="E94" i="17"/>
  <c r="D94" i="17"/>
  <c r="C94" i="17"/>
  <c r="I55" i="17"/>
  <c r="H55" i="17"/>
  <c r="G55" i="17"/>
  <c r="F55" i="17"/>
  <c r="E55" i="17"/>
  <c r="D55" i="17"/>
  <c r="C55" i="17"/>
  <c r="I48" i="17"/>
  <c r="I54" i="17" s="1"/>
  <c r="I57" i="17" s="1"/>
  <c r="H48" i="17"/>
  <c r="H54" i="17" s="1"/>
  <c r="H57" i="17" s="1"/>
  <c r="H58" i="17" s="1"/>
  <c r="G48" i="17"/>
  <c r="G54" i="17" s="1"/>
  <c r="G57" i="17" s="1"/>
  <c r="F48" i="17"/>
  <c r="F54" i="17" s="1"/>
  <c r="F57" i="17" s="1"/>
  <c r="E48" i="17"/>
  <c r="E54" i="17" s="1"/>
  <c r="E57" i="17" s="1"/>
  <c r="D48" i="17"/>
  <c r="D54" i="17" s="1"/>
  <c r="D57" i="17" s="1"/>
  <c r="D58" i="17" s="1"/>
  <c r="C48" i="17"/>
  <c r="C54" i="17" s="1"/>
  <c r="C57" i="17" s="1"/>
  <c r="I44" i="17"/>
  <c r="H44" i="17"/>
  <c r="G44" i="17"/>
  <c r="F44" i="17"/>
  <c r="E44" i="17"/>
  <c r="D44" i="17"/>
  <c r="C44" i="17"/>
  <c r="I42" i="17"/>
  <c r="H42" i="17"/>
  <c r="G42" i="17"/>
  <c r="F42" i="17"/>
  <c r="E42" i="17"/>
  <c r="D42" i="17"/>
  <c r="C42" i="17"/>
  <c r="I40" i="17"/>
  <c r="H40" i="17"/>
  <c r="G40" i="17"/>
  <c r="F40" i="17"/>
  <c r="E40" i="17"/>
  <c r="D40" i="17"/>
  <c r="C40" i="17"/>
  <c r="I38" i="17"/>
  <c r="I103" i="17" s="1"/>
  <c r="H38" i="17"/>
  <c r="H103" i="17" s="1"/>
  <c r="G38" i="17"/>
  <c r="F38" i="17"/>
  <c r="E38" i="17"/>
  <c r="D38" i="17"/>
  <c r="C38" i="17"/>
  <c r="C103" i="17" s="1"/>
  <c r="I33" i="17"/>
  <c r="H33" i="17"/>
  <c r="H45" i="17" s="1"/>
  <c r="H46" i="17" s="1"/>
  <c r="G33" i="17"/>
  <c r="G34" i="17" s="1"/>
  <c r="F33" i="17"/>
  <c r="F34" i="17" s="1"/>
  <c r="E33" i="17"/>
  <c r="E45" i="17" s="1"/>
  <c r="E46" i="17" s="1"/>
  <c r="D33" i="17"/>
  <c r="D45" i="17" s="1"/>
  <c r="D46" i="17" s="1"/>
  <c r="C33" i="17"/>
  <c r="I30" i="17"/>
  <c r="H30" i="17"/>
  <c r="G30" i="17"/>
  <c r="F30" i="17"/>
  <c r="E30" i="17"/>
  <c r="D30" i="17"/>
  <c r="C30" i="17"/>
  <c r="E18" i="17"/>
  <c r="I17" i="17"/>
  <c r="I19" i="17" s="1"/>
  <c r="H17" i="17"/>
  <c r="H19" i="17" s="1"/>
  <c r="G17" i="17"/>
  <c r="G19" i="17" s="1"/>
  <c r="F17" i="17"/>
  <c r="F19" i="17" s="1"/>
  <c r="E17" i="17"/>
  <c r="E19" i="17" s="1"/>
  <c r="D17" i="17"/>
  <c r="D19" i="17" s="1"/>
  <c r="C17" i="17"/>
  <c r="C19" i="17" s="1"/>
  <c r="H15" i="17"/>
  <c r="H16" i="17" s="1"/>
  <c r="I12" i="17"/>
  <c r="H12" i="17"/>
  <c r="G12" i="17"/>
  <c r="F12" i="17"/>
  <c r="E12" i="17"/>
  <c r="D12" i="17"/>
  <c r="C12" i="17"/>
  <c r="I11" i="17"/>
  <c r="H11" i="17"/>
  <c r="G11" i="17"/>
  <c r="F11" i="17"/>
  <c r="E11" i="17"/>
  <c r="D11" i="17"/>
  <c r="C11" i="17"/>
  <c r="J20" i="17" l="1"/>
  <c r="J7" i="17"/>
  <c r="J93" i="17" s="1"/>
  <c r="J3" i="17"/>
  <c r="J107" i="17" s="1"/>
  <c r="J5" i="17"/>
  <c r="J25" i="17" s="1"/>
  <c r="J27" i="17" s="1"/>
  <c r="J4" i="17"/>
  <c r="K69" i="17"/>
  <c r="K58" i="17"/>
  <c r="J69" i="17"/>
  <c r="J58" i="17"/>
  <c r="J29" i="17"/>
  <c r="K49" i="17"/>
  <c r="K51" i="17" s="1"/>
  <c r="K50" i="17"/>
  <c r="J34" i="17"/>
  <c r="K19" i="17"/>
  <c r="K20" i="17" s="1"/>
  <c r="K34" i="17"/>
  <c r="J35" i="17"/>
  <c r="J36" i="17" s="1"/>
  <c r="J49" i="17" s="1"/>
  <c r="J51" i="17" s="1"/>
  <c r="K8" i="17"/>
  <c r="K2" i="17" s="1"/>
  <c r="K15" i="17"/>
  <c r="K16" i="17" s="1"/>
  <c r="H8" i="17"/>
  <c r="H2" i="17" s="1"/>
  <c r="H4" i="17" s="1"/>
  <c r="I50" i="17"/>
  <c r="H50" i="17"/>
  <c r="I8" i="17"/>
  <c r="I2" i="17" s="1"/>
  <c r="I5" i="17" s="1"/>
  <c r="H18" i="17"/>
  <c r="D69" i="17"/>
  <c r="C50" i="17"/>
  <c r="F50" i="17"/>
  <c r="E15" i="17"/>
  <c r="E16" i="17" s="1"/>
  <c r="E20" i="17" s="1"/>
  <c r="H34" i="17"/>
  <c r="G50" i="17"/>
  <c r="G45" i="17"/>
  <c r="G46" i="17" s="1"/>
  <c r="E8" i="17"/>
  <c r="E2" i="17" s="1"/>
  <c r="E4" i="17" s="1"/>
  <c r="G35" i="17"/>
  <c r="G36" i="17" s="1"/>
  <c r="G49" i="17" s="1"/>
  <c r="G51" i="17" s="1"/>
  <c r="F103" i="17"/>
  <c r="C161" i="17"/>
  <c r="I161" i="17"/>
  <c r="H161" i="17"/>
  <c r="G161" i="17"/>
  <c r="D161" i="17"/>
  <c r="F161" i="17"/>
  <c r="E69" i="17"/>
  <c r="E58" i="17"/>
  <c r="I45" i="17"/>
  <c r="I46" i="17" s="1"/>
  <c r="I35" i="17"/>
  <c r="I36" i="17" s="1"/>
  <c r="I34" i="17"/>
  <c r="H5" i="17"/>
  <c r="C8" i="17"/>
  <c r="C2" i="17" s="1"/>
  <c r="C45" i="17"/>
  <c r="C46" i="17" s="1"/>
  <c r="C35" i="17"/>
  <c r="C36" i="17" s="1"/>
  <c r="C49" i="17" s="1"/>
  <c r="C34" i="17"/>
  <c r="D18" i="17"/>
  <c r="D8" i="17"/>
  <c r="D2" i="17" s="1"/>
  <c r="D15" i="17"/>
  <c r="D16" i="17" s="1"/>
  <c r="D20" i="17" s="1"/>
  <c r="C18" i="17"/>
  <c r="F18" i="17"/>
  <c r="H70" i="17"/>
  <c r="H59" i="17"/>
  <c r="F8" i="17"/>
  <c r="F2" i="17" s="1"/>
  <c r="E103" i="17"/>
  <c r="E50" i="17"/>
  <c r="C15" i="17"/>
  <c r="C16" i="17" s="1"/>
  <c r="H20" i="17"/>
  <c r="G15" i="17"/>
  <c r="G16" i="17" s="1"/>
  <c r="G18" i="17"/>
  <c r="G8" i="17"/>
  <c r="G2" i="17" s="1"/>
  <c r="C69" i="17"/>
  <c r="C58" i="17"/>
  <c r="D70" i="17"/>
  <c r="D81" i="17" s="1"/>
  <c r="D59" i="17"/>
  <c r="H69" i="17"/>
  <c r="I3" i="17"/>
  <c r="I25" i="17" s="1"/>
  <c r="I27" i="17" s="1"/>
  <c r="F15" i="17"/>
  <c r="F16" i="17" s="1"/>
  <c r="I18" i="17"/>
  <c r="D50" i="17"/>
  <c r="F69" i="17"/>
  <c r="F58" i="17"/>
  <c r="G58" i="17"/>
  <c r="G69" i="17"/>
  <c r="I15" i="17"/>
  <c r="I16" i="17" s="1"/>
  <c r="I20" i="17" s="1"/>
  <c r="I69" i="17"/>
  <c r="I58" i="17"/>
  <c r="F35" i="17"/>
  <c r="F36" i="17" s="1"/>
  <c r="F45" i="17"/>
  <c r="F46" i="17" s="1"/>
  <c r="D103" i="17"/>
  <c r="H35" i="17"/>
  <c r="H36" i="17" s="1"/>
  <c r="H49" i="17" s="1"/>
  <c r="H51" i="17" s="1"/>
  <c r="G103" i="17"/>
  <c r="D34" i="17"/>
  <c r="E161" i="17"/>
  <c r="E34" i="17"/>
  <c r="D35" i="17"/>
  <c r="D36" i="17" s="1"/>
  <c r="D49" i="17" s="1"/>
  <c r="D51" i="17" s="1"/>
  <c r="E35" i="17"/>
  <c r="E36" i="17" s="1"/>
  <c r="E49" i="17" s="1"/>
  <c r="E51" i="17" s="1"/>
  <c r="K96" i="17" l="1"/>
  <c r="K95" i="17"/>
  <c r="J98" i="17"/>
  <c r="J105" i="17"/>
  <c r="J95" i="17"/>
  <c r="J96" i="17"/>
  <c r="K70" i="17"/>
  <c r="K81" i="17" s="1"/>
  <c r="K59" i="17"/>
  <c r="K29" i="17"/>
  <c r="J106" i="17"/>
  <c r="J108" i="17"/>
  <c r="K4" i="17"/>
  <c r="K3" i="17"/>
  <c r="K101" i="17" s="1"/>
  <c r="K5" i="17"/>
  <c r="K25" i="17" s="1"/>
  <c r="K27" i="17" s="1"/>
  <c r="K7" i="17"/>
  <c r="K93" i="17" s="1"/>
  <c r="J97" i="17"/>
  <c r="J59" i="17"/>
  <c r="J70" i="17"/>
  <c r="J101" i="17"/>
  <c r="J104" i="17"/>
  <c r="J26" i="17"/>
  <c r="J28" i="17" s="1"/>
  <c r="H3" i="17"/>
  <c r="H101" i="17" s="1"/>
  <c r="E5" i="17"/>
  <c r="E3" i="17"/>
  <c r="H29" i="17"/>
  <c r="I4" i="17"/>
  <c r="I26" i="17" s="1"/>
  <c r="I28" i="17" s="1"/>
  <c r="I7" i="17"/>
  <c r="H7" i="17"/>
  <c r="I49" i="17"/>
  <c r="E7" i="17"/>
  <c r="E29" i="17"/>
  <c r="F49" i="17"/>
  <c r="F51" i="17" s="1"/>
  <c r="D96" i="17"/>
  <c r="D95" i="17"/>
  <c r="H95" i="17"/>
  <c r="H96" i="17"/>
  <c r="E95" i="17"/>
  <c r="E96" i="17"/>
  <c r="I70" i="17"/>
  <c r="I59" i="17"/>
  <c r="G70" i="17"/>
  <c r="G59" i="17"/>
  <c r="F29" i="17"/>
  <c r="F20" i="17"/>
  <c r="F5" i="17"/>
  <c r="F7" i="17"/>
  <c r="F3" i="17"/>
  <c r="F101" i="17" s="1"/>
  <c r="F4" i="17"/>
  <c r="E70" i="17"/>
  <c r="E81" i="17" s="1"/>
  <c r="E59" i="17"/>
  <c r="F70" i="17"/>
  <c r="F81" i="17" s="1"/>
  <c r="F59" i="17"/>
  <c r="G4" i="17"/>
  <c r="G3" i="17"/>
  <c r="G101" i="17" s="1"/>
  <c r="G5" i="17"/>
  <c r="G7" i="17"/>
  <c r="C51" i="17"/>
  <c r="C29" i="17"/>
  <c r="I101" i="17"/>
  <c r="D4" i="17"/>
  <c r="D5" i="17"/>
  <c r="D7" i="17"/>
  <c r="D3" i="17"/>
  <c r="D101" i="17" s="1"/>
  <c r="G95" i="17"/>
  <c r="G96" i="17"/>
  <c r="C20" i="17"/>
  <c r="I108" i="17"/>
  <c r="I105" i="17"/>
  <c r="I98" i="17"/>
  <c r="I107" i="17"/>
  <c r="I29" i="17"/>
  <c r="I104" i="17"/>
  <c r="I97" i="17"/>
  <c r="I106" i="17"/>
  <c r="C70" i="17"/>
  <c r="C81" i="17" s="1"/>
  <c r="C59" i="17"/>
  <c r="C5" i="17"/>
  <c r="C3" i="17"/>
  <c r="C101" i="17" s="1"/>
  <c r="C7" i="17"/>
  <c r="C4" i="17"/>
  <c r="D29" i="17"/>
  <c r="H81" i="17"/>
  <c r="D71" i="17"/>
  <c r="D82" i="17" s="1"/>
  <c r="D60" i="17"/>
  <c r="G29" i="17"/>
  <c r="G20" i="17"/>
  <c r="H71" i="17"/>
  <c r="H82" i="17" s="1"/>
  <c r="H60" i="17"/>
  <c r="I51" i="17"/>
  <c r="H108" i="17" l="1"/>
  <c r="H97" i="17"/>
  <c r="H26" i="17"/>
  <c r="H28" i="17" s="1"/>
  <c r="H25" i="17"/>
  <c r="H27" i="17" s="1"/>
  <c r="E25" i="17"/>
  <c r="E27" i="17" s="1"/>
  <c r="K26" i="17"/>
  <c r="K28" i="17" s="1"/>
  <c r="K104" i="17"/>
  <c r="K97" i="17"/>
  <c r="K107" i="17"/>
  <c r="K98" i="17"/>
  <c r="K105" i="17"/>
  <c r="J71" i="17"/>
  <c r="J60" i="17"/>
  <c r="K71" i="17"/>
  <c r="K60" i="17"/>
  <c r="J81" i="17"/>
  <c r="K126" i="17"/>
  <c r="K106" i="17"/>
  <c r="K108" i="17"/>
  <c r="E107" i="17"/>
  <c r="H105" i="17"/>
  <c r="H104" i="17"/>
  <c r="H107" i="17"/>
  <c r="H98" i="17"/>
  <c r="H106" i="17"/>
  <c r="H93" i="17"/>
  <c r="H124" i="17" s="1"/>
  <c r="H126" i="17" s="1"/>
  <c r="E104" i="17"/>
  <c r="E98" i="17"/>
  <c r="E97" i="17"/>
  <c r="E26" i="17"/>
  <c r="E28" i="17" s="1"/>
  <c r="E106" i="17"/>
  <c r="E101" i="17"/>
  <c r="E108" i="17"/>
  <c r="E105" i="17"/>
  <c r="D108" i="17"/>
  <c r="E93" i="17"/>
  <c r="E124" i="17" s="1"/>
  <c r="E126" i="17" s="1"/>
  <c r="E137" i="17" s="1"/>
  <c r="G105" i="17"/>
  <c r="C98" i="17"/>
  <c r="G107" i="17"/>
  <c r="C105" i="17"/>
  <c r="C97" i="17"/>
  <c r="C26" i="17"/>
  <c r="C28" i="17" s="1"/>
  <c r="C104" i="17"/>
  <c r="G25" i="17"/>
  <c r="G27" i="17" s="1"/>
  <c r="G104" i="17"/>
  <c r="G108" i="17"/>
  <c r="G106" i="17"/>
  <c r="D105" i="17"/>
  <c r="G98" i="17"/>
  <c r="D106" i="17"/>
  <c r="D97" i="17"/>
  <c r="G97" i="17"/>
  <c r="C107" i="17"/>
  <c r="C108" i="17"/>
  <c r="G26" i="17"/>
  <c r="G28" i="17" s="1"/>
  <c r="H127" i="17"/>
  <c r="H138" i="17" s="1"/>
  <c r="D72" i="17"/>
  <c r="D83" i="17" s="1"/>
  <c r="D61" i="17"/>
  <c r="C60" i="17"/>
  <c r="C71" i="17"/>
  <c r="C82" i="17" s="1"/>
  <c r="F98" i="17"/>
  <c r="F107" i="17"/>
  <c r="E60" i="17"/>
  <c r="E71" i="17"/>
  <c r="E82" i="17" s="1"/>
  <c r="F25" i="17"/>
  <c r="F27" i="17" s="1"/>
  <c r="F97" i="17"/>
  <c r="C96" i="17"/>
  <c r="C95" i="17"/>
  <c r="F105" i="17"/>
  <c r="G71" i="17"/>
  <c r="G82" i="17" s="1"/>
  <c r="G60" i="17"/>
  <c r="D104" i="17"/>
  <c r="C106" i="17"/>
  <c r="F60" i="17"/>
  <c r="F71" i="17"/>
  <c r="F82" i="17" s="1"/>
  <c r="F106" i="17"/>
  <c r="F96" i="17"/>
  <c r="F95" i="17"/>
  <c r="H61" i="17"/>
  <c r="H72" i="17"/>
  <c r="H83" i="17" s="1"/>
  <c r="H128" i="17" s="1"/>
  <c r="H139" i="17" s="1"/>
  <c r="I81" i="17"/>
  <c r="D93" i="17"/>
  <c r="D124" i="17" s="1"/>
  <c r="D126" i="17" s="1"/>
  <c r="G93" i="17"/>
  <c r="G124" i="17" s="1"/>
  <c r="F104" i="17"/>
  <c r="D25" i="17"/>
  <c r="D27" i="17" s="1"/>
  <c r="D98" i="17"/>
  <c r="D107" i="17"/>
  <c r="C25" i="17"/>
  <c r="C27" i="17" s="1"/>
  <c r="D26" i="17"/>
  <c r="D28" i="17" s="1"/>
  <c r="F26" i="17"/>
  <c r="F28" i="17" s="1"/>
  <c r="F108" i="17"/>
  <c r="I71" i="17"/>
  <c r="I82" i="17" s="1"/>
  <c r="I60" i="17"/>
  <c r="G81" i="17"/>
  <c r="I96" i="17"/>
  <c r="I95" i="17"/>
  <c r="B100" i="17"/>
  <c r="B166" i="17"/>
  <c r="B11" i="17"/>
  <c r="B12" i="17"/>
  <c r="B19" i="17"/>
  <c r="B30" i="17"/>
  <c r="B33" i="17"/>
  <c r="B34" i="17" s="1"/>
  <c r="B38" i="17"/>
  <c r="B103" i="17" s="1"/>
  <c r="B40" i="17"/>
  <c r="B42" i="17"/>
  <c r="B44" i="17"/>
  <c r="B48" i="17"/>
  <c r="B54" i="17" s="1"/>
  <c r="B57" i="17" s="1"/>
  <c r="B55" i="17"/>
  <c r="B94" i="17"/>
  <c r="B163" i="17"/>
  <c r="B164" i="17"/>
  <c r="B165" i="17"/>
  <c r="B162" i="17"/>
  <c r="F93" i="17" l="1"/>
  <c r="F124" i="17" s="1"/>
  <c r="F126" i="17" s="1"/>
  <c r="F137" i="17" s="1"/>
  <c r="K137" i="17"/>
  <c r="K72" i="17"/>
  <c r="K83" i="17" s="1"/>
  <c r="K128" i="17" s="1"/>
  <c r="K139" i="17" s="1"/>
  <c r="K61" i="17"/>
  <c r="K82" i="17"/>
  <c r="J72" i="17"/>
  <c r="J83" i="17" s="1"/>
  <c r="J128" i="17" s="1"/>
  <c r="J139" i="17" s="1"/>
  <c r="J61" i="17"/>
  <c r="J126" i="17"/>
  <c r="J82" i="17"/>
  <c r="J127" i="17" s="1"/>
  <c r="J138" i="17" s="1"/>
  <c r="I93" i="17"/>
  <c r="I124" i="17" s="1"/>
  <c r="I126" i="17" s="1"/>
  <c r="I137" i="17" s="1"/>
  <c r="C93" i="17"/>
  <c r="C124" i="17" s="1"/>
  <c r="C127" i="17" s="1"/>
  <c r="C138" i="17" s="1"/>
  <c r="D128" i="17"/>
  <c r="D139" i="17" s="1"/>
  <c r="D127" i="17"/>
  <c r="D138" i="17" s="1"/>
  <c r="G127" i="17"/>
  <c r="G138" i="17" s="1"/>
  <c r="E127" i="17"/>
  <c r="D137" i="17"/>
  <c r="C72" i="17"/>
  <c r="C83" i="17" s="1"/>
  <c r="C61" i="17"/>
  <c r="I72" i="17"/>
  <c r="I83" i="17" s="1"/>
  <c r="I61" i="17"/>
  <c r="D62" i="17"/>
  <c r="D73" i="17"/>
  <c r="F72" i="17"/>
  <c r="F61" i="17"/>
  <c r="G126" i="17"/>
  <c r="H73" i="17"/>
  <c r="H84" i="17" s="1"/>
  <c r="H62" i="17"/>
  <c r="D84" i="17"/>
  <c r="H137" i="17"/>
  <c r="G72" i="17"/>
  <c r="G61" i="17"/>
  <c r="E72" i="17"/>
  <c r="E83" i="17" s="1"/>
  <c r="E128" i="17" s="1"/>
  <c r="E139" i="17" s="1"/>
  <c r="E61" i="17"/>
  <c r="B8" i="17"/>
  <c r="B2" i="17" s="1"/>
  <c r="B16" i="17"/>
  <c r="B50" i="17"/>
  <c r="B58" i="17"/>
  <c r="B69" i="17"/>
  <c r="B45" i="17"/>
  <c r="B46" i="17" s="1"/>
  <c r="B35" i="17"/>
  <c r="B36" i="17" s="1"/>
  <c r="B161" i="17"/>
  <c r="F127" i="17" l="1"/>
  <c r="F138" i="17" s="1"/>
  <c r="J137" i="17"/>
  <c r="K127" i="17"/>
  <c r="K73" i="17"/>
  <c r="K62" i="17"/>
  <c r="J62" i="17"/>
  <c r="J73" i="17"/>
  <c r="J84" i="17" s="1"/>
  <c r="J129" i="17" s="1"/>
  <c r="J140" i="17" s="1"/>
  <c r="I127" i="17"/>
  <c r="I138" i="17" s="1"/>
  <c r="C126" i="17"/>
  <c r="C137" i="17" s="1"/>
  <c r="H129" i="17"/>
  <c r="C128" i="17"/>
  <c r="C139" i="17" s="1"/>
  <c r="I128" i="17"/>
  <c r="D129" i="17"/>
  <c r="G73" i="17"/>
  <c r="G84" i="17" s="1"/>
  <c r="G129" i="17" s="1"/>
  <c r="G140" i="17" s="1"/>
  <c r="G62" i="17"/>
  <c r="I73" i="17"/>
  <c r="I62" i="17"/>
  <c r="F83" i="17"/>
  <c r="D74" i="17"/>
  <c r="D63" i="17"/>
  <c r="C62" i="17"/>
  <c r="C73" i="17"/>
  <c r="E73" i="17"/>
  <c r="E62" i="17"/>
  <c r="H63" i="17"/>
  <c r="H74" i="17"/>
  <c r="H85" i="17" s="1"/>
  <c r="H130" i="17" s="1"/>
  <c r="H141" i="17" s="1"/>
  <c r="F73" i="17"/>
  <c r="F62" i="17"/>
  <c r="G137" i="17"/>
  <c r="G83" i="17"/>
  <c r="E138" i="17"/>
  <c r="B7" i="17"/>
  <c r="B4" i="17"/>
  <c r="B3" i="17"/>
  <c r="B101" i="17" s="1"/>
  <c r="B49" i="17"/>
  <c r="B51" i="17" s="1"/>
  <c r="B29" i="17"/>
  <c r="B20" i="17"/>
  <c r="B70" i="17"/>
  <c r="B59" i="17"/>
  <c r="B46" i="14"/>
  <c r="B43" i="14"/>
  <c r="B45" i="14"/>
  <c r="N41" i="16"/>
  <c r="K74" i="17" l="1"/>
  <c r="K85" i="17" s="1"/>
  <c r="K130" i="17" s="1"/>
  <c r="K141" i="17" s="1"/>
  <c r="K63" i="17"/>
  <c r="J74" i="17"/>
  <c r="J85" i="17" s="1"/>
  <c r="J63" i="17"/>
  <c r="K138" i="17"/>
  <c r="K84" i="17"/>
  <c r="F63" i="17"/>
  <c r="F74" i="17"/>
  <c r="F85" i="17" s="1"/>
  <c r="F130" i="17" s="1"/>
  <c r="F141" i="17" s="1"/>
  <c r="G128" i="17"/>
  <c r="F84" i="17"/>
  <c r="F129" i="17" s="1"/>
  <c r="F140" i="17" s="1"/>
  <c r="D140" i="17"/>
  <c r="H75" i="17"/>
  <c r="H86" i="17" s="1"/>
  <c r="H131" i="17" s="1"/>
  <c r="H142" i="17" s="1"/>
  <c r="H64" i="17"/>
  <c r="I63" i="17"/>
  <c r="I74" i="17"/>
  <c r="E84" i="17"/>
  <c r="F128" i="17"/>
  <c r="I139" i="17"/>
  <c r="C74" i="17"/>
  <c r="C63" i="17"/>
  <c r="G74" i="17"/>
  <c r="G85" i="17" s="1"/>
  <c r="G130" i="17" s="1"/>
  <c r="G141" i="17" s="1"/>
  <c r="G63" i="17"/>
  <c r="D75" i="17"/>
  <c r="D86" i="17" s="1"/>
  <c r="D131" i="17" s="1"/>
  <c r="D142" i="17" s="1"/>
  <c r="D64" i="17"/>
  <c r="I84" i="17"/>
  <c r="C84" i="17"/>
  <c r="C129" i="17" s="1"/>
  <c r="E74" i="17"/>
  <c r="E63" i="17"/>
  <c r="D85" i="17"/>
  <c r="D130" i="17" s="1"/>
  <c r="D141" i="17" s="1"/>
  <c r="H140" i="17"/>
  <c r="B26" i="17"/>
  <c r="B28" i="17" s="1"/>
  <c r="B106" i="17"/>
  <c r="B107" i="17"/>
  <c r="B105" i="17"/>
  <c r="B98" i="17"/>
  <c r="B108" i="17"/>
  <c r="B97" i="17"/>
  <c r="B104" i="17"/>
  <c r="B95" i="17"/>
  <c r="B96" i="17"/>
  <c r="B81" i="17"/>
  <c r="B71" i="17"/>
  <c r="B60" i="17"/>
  <c r="L23" i="16"/>
  <c r="M23" i="16"/>
  <c r="L41" i="16"/>
  <c r="L38" i="16"/>
  <c r="N36" i="16"/>
  <c r="N37" i="16"/>
  <c r="N35" i="16"/>
  <c r="L40" i="16"/>
  <c r="N51" i="16"/>
  <c r="L51" i="16"/>
  <c r="N48" i="16"/>
  <c r="N45" i="16"/>
  <c r="L50" i="16"/>
  <c r="N50" i="16"/>
  <c r="N40" i="16"/>
  <c r="C12" i="8"/>
  <c r="D12" i="8"/>
  <c r="E12" i="8"/>
  <c r="F12" i="8"/>
  <c r="G12" i="8"/>
  <c r="H12" i="8"/>
  <c r="I12" i="8"/>
  <c r="J12" i="8"/>
  <c r="K12" i="8"/>
  <c r="B12" i="8"/>
  <c r="C13" i="8"/>
  <c r="D13" i="8"/>
  <c r="E13" i="8"/>
  <c r="F13" i="8"/>
  <c r="G13" i="8"/>
  <c r="H13" i="8"/>
  <c r="I13" i="8"/>
  <c r="J13" i="8"/>
  <c r="K13" i="8"/>
  <c r="B13" i="8"/>
  <c r="C14" i="8"/>
  <c r="D14" i="8"/>
  <c r="E14" i="8"/>
  <c r="F14" i="8"/>
  <c r="G14" i="8"/>
  <c r="H14" i="8"/>
  <c r="I14" i="8"/>
  <c r="J14" i="8"/>
  <c r="K14" i="8"/>
  <c r="B14" i="8"/>
  <c r="B15" i="8"/>
  <c r="D16" i="8"/>
  <c r="E16" i="8"/>
  <c r="F16" i="8"/>
  <c r="G16" i="8"/>
  <c r="H16" i="8"/>
  <c r="I16" i="8"/>
  <c r="J16" i="8"/>
  <c r="K16" i="8"/>
  <c r="C16" i="8"/>
  <c r="B16" i="8"/>
  <c r="J17" i="8"/>
  <c r="K17" i="8"/>
  <c r="D17" i="8"/>
  <c r="E17" i="8"/>
  <c r="F17" i="8"/>
  <c r="G17" i="8"/>
  <c r="H17" i="8"/>
  <c r="I17" i="8"/>
  <c r="C17" i="8"/>
  <c r="B17" i="8"/>
  <c r="G15" i="8"/>
  <c r="H15" i="8"/>
  <c r="I15" i="8"/>
  <c r="J15" i="8"/>
  <c r="K15" i="8"/>
  <c r="V6" i="8"/>
  <c r="W6" i="8"/>
  <c r="W2" i="8"/>
  <c r="U6" i="8"/>
  <c r="U2" i="8"/>
  <c r="T3" i="8"/>
  <c r="S6" i="8"/>
  <c r="R2" i="8"/>
  <c r="Q6" i="8"/>
  <c r="P6" i="8"/>
  <c r="P2" i="8"/>
  <c r="O6" i="8"/>
  <c r="N10" i="8"/>
  <c r="M10" i="8"/>
  <c r="N9" i="8"/>
  <c r="M9" i="8"/>
  <c r="N7" i="8"/>
  <c r="M7" i="8"/>
  <c r="N6" i="8"/>
  <c r="M6" i="8"/>
  <c r="N5" i="8"/>
  <c r="M5" i="8"/>
  <c r="N4" i="8"/>
  <c r="M4" i="8"/>
  <c r="N3" i="8"/>
  <c r="M3" i="8"/>
  <c r="N2" i="8"/>
  <c r="M2" i="8"/>
  <c r="L2" i="8"/>
  <c r="X2" i="8" s="1"/>
  <c r="L3" i="8"/>
  <c r="P3" i="8" s="1"/>
  <c r="L4" i="8"/>
  <c r="U4" i="8" s="1"/>
  <c r="L5" i="8"/>
  <c r="U5" i="8" s="1"/>
  <c r="L6" i="8"/>
  <c r="X6" i="8" s="1"/>
  <c r="L7" i="8"/>
  <c r="V7" i="8" s="1"/>
  <c r="L9" i="8"/>
  <c r="V9" i="8" s="1"/>
  <c r="L10" i="8"/>
  <c r="R10" i="8" s="1"/>
  <c r="L8" i="8"/>
  <c r="X8" i="8" s="1"/>
  <c r="B26" i="18"/>
  <c r="K17" i="19"/>
  <c r="C67" i="14"/>
  <c r="C62" i="14"/>
  <c r="C63" i="14"/>
  <c r="C64" i="14"/>
  <c r="C65" i="14"/>
  <c r="C66" i="14"/>
  <c r="C61" i="14"/>
  <c r="B23" i="18"/>
  <c r="C8" i="1"/>
  <c r="D62" i="1"/>
  <c r="B22" i="18"/>
  <c r="B19" i="18"/>
  <c r="B21" i="18" s="1"/>
  <c r="B9" i="18"/>
  <c r="B14" i="18"/>
  <c r="B15" i="18" s="1"/>
  <c r="B10" i="18"/>
  <c r="B6" i="18"/>
  <c r="B5" i="18"/>
  <c r="B18" i="18" s="1"/>
  <c r="B20" i="18" s="1"/>
  <c r="B4" i="18"/>
  <c r="B3" i="18"/>
  <c r="B5" i="17"/>
  <c r="B25" i="17" s="1"/>
  <c r="B27" i="17" s="1"/>
  <c r="C62" i="13"/>
  <c r="D67" i="1"/>
  <c r="D65" i="1"/>
  <c r="D64" i="1"/>
  <c r="I64" i="1" s="1"/>
  <c r="P67" i="1"/>
  <c r="P65" i="1"/>
  <c r="P64" i="1"/>
  <c r="C4" i="1"/>
  <c r="D99" i="1" s="1"/>
  <c r="C3" i="1"/>
  <c r="T22" i="1"/>
  <c r="F15" i="8"/>
  <c r="E15" i="8"/>
  <c r="D15" i="8"/>
  <c r="C15" i="8"/>
  <c r="K111" i="17" l="1"/>
  <c r="K118" i="17" s="1"/>
  <c r="J111" i="17"/>
  <c r="J118" i="17" s="1"/>
  <c r="K113" i="17"/>
  <c r="K120" i="17" s="1"/>
  <c r="J113" i="17"/>
  <c r="J120" i="17" s="1"/>
  <c r="B110" i="17"/>
  <c r="B117" i="17" s="1"/>
  <c r="K110" i="17"/>
  <c r="K117" i="17" s="1"/>
  <c r="J110" i="17"/>
  <c r="J117" i="17" s="1"/>
  <c r="J112" i="17"/>
  <c r="J119" i="17" s="1"/>
  <c r="K112" i="17"/>
  <c r="K119" i="17" s="1"/>
  <c r="K114" i="17"/>
  <c r="J114" i="17"/>
  <c r="J130" i="17"/>
  <c r="J75" i="17"/>
  <c r="J64" i="17"/>
  <c r="K129" i="17"/>
  <c r="K86" i="17"/>
  <c r="K131" i="17" s="1"/>
  <c r="K142" i="17" s="1"/>
  <c r="J86" i="17"/>
  <c r="J131" i="17" s="1"/>
  <c r="J142" i="17" s="1"/>
  <c r="K64" i="17"/>
  <c r="K75" i="17"/>
  <c r="H110" i="17"/>
  <c r="H117" i="17" s="1"/>
  <c r="F110" i="17"/>
  <c r="F117" i="17" s="1"/>
  <c r="C110" i="17"/>
  <c r="C117" i="17" s="1"/>
  <c r="I110" i="17"/>
  <c r="I117" i="17" s="1"/>
  <c r="E110" i="17"/>
  <c r="E117" i="17" s="1"/>
  <c r="G110" i="17"/>
  <c r="G117" i="17" s="1"/>
  <c r="D110" i="17"/>
  <c r="D117" i="17" s="1"/>
  <c r="B112" i="17"/>
  <c r="B119" i="17" s="1"/>
  <c r="H112" i="17"/>
  <c r="H119" i="17" s="1"/>
  <c r="C112" i="17"/>
  <c r="C119" i="17" s="1"/>
  <c r="I112" i="17"/>
  <c r="I119" i="17" s="1"/>
  <c r="G112" i="17"/>
  <c r="G119" i="17" s="1"/>
  <c r="D112" i="17"/>
  <c r="D119" i="17" s="1"/>
  <c r="E112" i="17"/>
  <c r="E119" i="17" s="1"/>
  <c r="F112" i="17"/>
  <c r="F119" i="17" s="1"/>
  <c r="B114" i="17"/>
  <c r="H114" i="17"/>
  <c r="D114" i="17"/>
  <c r="G114" i="17"/>
  <c r="C114" i="17"/>
  <c r="F114" i="17"/>
  <c r="E114" i="17"/>
  <c r="I114" i="17"/>
  <c r="B111" i="17"/>
  <c r="B118" i="17" s="1"/>
  <c r="H111" i="17"/>
  <c r="H118" i="17" s="1"/>
  <c r="D111" i="17"/>
  <c r="D118" i="17" s="1"/>
  <c r="F111" i="17"/>
  <c r="F118" i="17" s="1"/>
  <c r="C111" i="17"/>
  <c r="C118" i="17" s="1"/>
  <c r="I111" i="17"/>
  <c r="I118" i="17" s="1"/>
  <c r="E111" i="17"/>
  <c r="E118" i="17" s="1"/>
  <c r="G111" i="17"/>
  <c r="G118" i="17" s="1"/>
  <c r="B113" i="17"/>
  <c r="B120" i="17" s="1"/>
  <c r="H113" i="17"/>
  <c r="H120" i="17" s="1"/>
  <c r="F113" i="17"/>
  <c r="F120" i="17" s="1"/>
  <c r="E113" i="17"/>
  <c r="E120" i="17" s="1"/>
  <c r="I113" i="17"/>
  <c r="I120" i="17" s="1"/>
  <c r="G113" i="17"/>
  <c r="G120" i="17" s="1"/>
  <c r="D113" i="17"/>
  <c r="D120" i="17" s="1"/>
  <c r="C113" i="17"/>
  <c r="C120" i="17" s="1"/>
  <c r="F139" i="17"/>
  <c r="I129" i="17"/>
  <c r="C75" i="17"/>
  <c r="C64" i="17"/>
  <c r="E129" i="17"/>
  <c r="G139" i="17"/>
  <c r="F75" i="17"/>
  <c r="F86" i="17" s="1"/>
  <c r="F131" i="17" s="1"/>
  <c r="F64" i="17"/>
  <c r="H76" i="17"/>
  <c r="H87" i="17" s="1"/>
  <c r="H132" i="17" s="1"/>
  <c r="H143" i="17" s="1"/>
  <c r="H65" i="17"/>
  <c r="G75" i="17"/>
  <c r="G64" i="17"/>
  <c r="C140" i="17"/>
  <c r="D65" i="17"/>
  <c r="D76" i="17"/>
  <c r="C86" i="17"/>
  <c r="C131" i="17" s="1"/>
  <c r="C142" i="17" s="1"/>
  <c r="I86" i="17"/>
  <c r="I131" i="17" s="1"/>
  <c r="I142" i="17" s="1"/>
  <c r="I85" i="17"/>
  <c r="I130" i="17" s="1"/>
  <c r="I141" i="17" s="1"/>
  <c r="E75" i="17"/>
  <c r="E86" i="17" s="1"/>
  <c r="E131" i="17" s="1"/>
  <c r="E142" i="17" s="1"/>
  <c r="E64" i="17"/>
  <c r="I75" i="17"/>
  <c r="I64" i="17"/>
  <c r="E85" i="17"/>
  <c r="E130" i="17" s="1"/>
  <c r="E141" i="17" s="1"/>
  <c r="C85" i="17"/>
  <c r="C130" i="17" s="1"/>
  <c r="C141" i="17" s="1"/>
  <c r="B93" i="17"/>
  <c r="B124" i="17" s="1"/>
  <c r="B126" i="17" s="1"/>
  <c r="B137" i="17" s="1"/>
  <c r="B82" i="17"/>
  <c r="B72" i="17"/>
  <c r="B61" i="17"/>
  <c r="Q2" i="8"/>
  <c r="O10" i="8"/>
  <c r="Q10" i="8"/>
  <c r="V2" i="8"/>
  <c r="R5" i="8"/>
  <c r="R4" i="8"/>
  <c r="O5" i="8"/>
  <c r="Q5" i="8"/>
  <c r="T6" i="8"/>
  <c r="V5" i="8"/>
  <c r="X5" i="8"/>
  <c r="Z6" i="8"/>
  <c r="W8" i="8"/>
  <c r="V8" i="8"/>
  <c r="U7" i="8"/>
  <c r="P5" i="8"/>
  <c r="S4" i="8"/>
  <c r="R3" i="8"/>
  <c r="O4" i="8"/>
  <c r="Q4" i="8"/>
  <c r="T5" i="8"/>
  <c r="V4" i="8"/>
  <c r="X4" i="8"/>
  <c r="O3" i="8"/>
  <c r="Q3" i="8"/>
  <c r="T4" i="8"/>
  <c r="V3" i="8"/>
  <c r="X3" i="8"/>
  <c r="U8" i="8"/>
  <c r="T8" i="8"/>
  <c r="S8" i="8"/>
  <c r="Q8" i="8"/>
  <c r="P9" i="8"/>
  <c r="S9" i="8"/>
  <c r="U10" i="8"/>
  <c r="W9" i="8"/>
  <c r="P7" i="8"/>
  <c r="S7" i="8"/>
  <c r="U9" i="8"/>
  <c r="W7" i="8"/>
  <c r="P8" i="8"/>
  <c r="O8" i="8"/>
  <c r="S10" i="8"/>
  <c r="S5" i="8"/>
  <c r="W5" i="8"/>
  <c r="S3" i="8"/>
  <c r="W3" i="8"/>
  <c r="O2" i="8"/>
  <c r="S2" i="8"/>
  <c r="U3" i="8"/>
  <c r="R9" i="8"/>
  <c r="R7" i="8"/>
  <c r="O9" i="8"/>
  <c r="Q9" i="8"/>
  <c r="T10" i="8"/>
  <c r="V10" i="8"/>
  <c r="X9" i="8"/>
  <c r="P10" i="8"/>
  <c r="P4" i="8"/>
  <c r="W4" i="8"/>
  <c r="T2" i="8"/>
  <c r="X10" i="8"/>
  <c r="R6" i="8"/>
  <c r="Y6" i="8" s="1"/>
  <c r="AA6" i="8" s="1"/>
  <c r="O7" i="8"/>
  <c r="Q7" i="8"/>
  <c r="T9" i="8"/>
  <c r="X7" i="8"/>
  <c r="W10" i="8"/>
  <c r="T7" i="8"/>
  <c r="F60" i="1"/>
  <c r="D25" i="1"/>
  <c r="B12" i="18"/>
  <c r="B13" i="18" s="1"/>
  <c r="B16" i="18" s="1"/>
  <c r="P25" i="1"/>
  <c r="P23" i="1" s="1"/>
  <c r="U22" i="1" s="1"/>
  <c r="V22" i="1" s="1"/>
  <c r="D42" i="1"/>
  <c r="I67" i="1" s="1"/>
  <c r="I33" i="1"/>
  <c r="I34" i="1"/>
  <c r="I35" i="1"/>
  <c r="I39" i="1"/>
  <c r="J102" i="17" l="1"/>
  <c r="J121" i="17"/>
  <c r="J115" i="17" s="1"/>
  <c r="K121" i="17"/>
  <c r="K115" i="17" s="1"/>
  <c r="K102" i="17"/>
  <c r="J141" i="17"/>
  <c r="K87" i="17"/>
  <c r="K132" i="17" s="1"/>
  <c r="K143" i="17" s="1"/>
  <c r="K140" i="17"/>
  <c r="K65" i="17"/>
  <c r="K76" i="17"/>
  <c r="J65" i="17"/>
  <c r="J76" i="17"/>
  <c r="J87" i="17"/>
  <c r="J132" i="17" s="1"/>
  <c r="J143" i="17" s="1"/>
  <c r="B121" i="17"/>
  <c r="B115" i="17" s="1"/>
  <c r="B102" i="17"/>
  <c r="I102" i="17"/>
  <c r="I121" i="17"/>
  <c r="I115" i="17" s="1"/>
  <c r="H102" i="17"/>
  <c r="H121" i="17"/>
  <c r="H115" i="17" s="1"/>
  <c r="D121" i="17"/>
  <c r="D115" i="17" s="1"/>
  <c r="D102" i="17"/>
  <c r="E121" i="17"/>
  <c r="E115" i="17" s="1"/>
  <c r="E102" i="17"/>
  <c r="F121" i="17"/>
  <c r="F115" i="17" s="1"/>
  <c r="F102" i="17"/>
  <c r="C102" i="17"/>
  <c r="C121" i="17"/>
  <c r="C115" i="17" s="1"/>
  <c r="G121" i="17"/>
  <c r="G115" i="17" s="1"/>
  <c r="G102" i="17"/>
  <c r="F142" i="17"/>
  <c r="E76" i="17"/>
  <c r="E65" i="17"/>
  <c r="C76" i="17"/>
  <c r="C65" i="17"/>
  <c r="D77" i="17"/>
  <c r="D66" i="17"/>
  <c r="I140" i="17"/>
  <c r="G65" i="17"/>
  <c r="G76" i="17"/>
  <c r="G87" i="17" s="1"/>
  <c r="G132" i="17" s="1"/>
  <c r="G143" i="17" s="1"/>
  <c r="I76" i="17"/>
  <c r="I87" i="17" s="1"/>
  <c r="I65" i="17"/>
  <c r="H77" i="17"/>
  <c r="H66" i="17"/>
  <c r="D87" i="17"/>
  <c r="D132" i="17" s="1"/>
  <c r="F65" i="17"/>
  <c r="F76" i="17"/>
  <c r="E140" i="17"/>
  <c r="G86" i="17"/>
  <c r="B73" i="17"/>
  <c r="B84" i="17" s="1"/>
  <c r="B62" i="17"/>
  <c r="B83" i="17"/>
  <c r="Y3" i="8"/>
  <c r="AA3" i="8" s="1"/>
  <c r="Z3" i="8"/>
  <c r="Y4" i="8"/>
  <c r="AA4" i="8" s="1"/>
  <c r="Z4" i="8"/>
  <c r="Z9" i="8"/>
  <c r="Y9" i="8"/>
  <c r="AA9" i="8" s="1"/>
  <c r="Z10" i="8"/>
  <c r="Y10" i="8"/>
  <c r="AA10" i="8" s="1"/>
  <c r="Z5" i="8"/>
  <c r="Y5" i="8"/>
  <c r="AA5" i="8" s="1"/>
  <c r="Y8" i="8"/>
  <c r="AA8" i="8" s="1"/>
  <c r="Z8" i="8"/>
  <c r="Z7" i="8"/>
  <c r="Y7" i="8"/>
  <c r="AA7" i="8" s="1"/>
  <c r="Z2" i="8"/>
  <c r="Y2" i="8"/>
  <c r="AA2" i="8" s="1"/>
  <c r="I32" i="1"/>
  <c r="I40" i="1"/>
  <c r="I36" i="1"/>
  <c r="I38" i="1"/>
  <c r="I31" i="1"/>
  <c r="I37" i="1"/>
  <c r="J77" i="17" l="1"/>
  <c r="J66" i="17"/>
  <c r="J88" i="17"/>
  <c r="J133" i="17" s="1"/>
  <c r="J144" i="17" s="1"/>
  <c r="K77" i="17"/>
  <c r="K88" i="17" s="1"/>
  <c r="K133" i="17" s="1"/>
  <c r="K144" i="17" s="1"/>
  <c r="K66" i="17"/>
  <c r="G131" i="17"/>
  <c r="D143" i="17"/>
  <c r="I132" i="17"/>
  <c r="E77" i="17"/>
  <c r="E88" i="17" s="1"/>
  <c r="E133" i="17" s="1"/>
  <c r="E144" i="17" s="1"/>
  <c r="E66" i="17"/>
  <c r="C87" i="17"/>
  <c r="C132" i="17" s="1"/>
  <c r="H78" i="17"/>
  <c r="H89" i="17" s="1"/>
  <c r="H134" i="17" s="1"/>
  <c r="H145" i="17" s="1"/>
  <c r="H67" i="17"/>
  <c r="H79" i="17" s="1"/>
  <c r="D67" i="17"/>
  <c r="D79" i="17" s="1"/>
  <c r="D78" i="17"/>
  <c r="D89" i="17" s="1"/>
  <c r="D134" i="17" s="1"/>
  <c r="D145" i="17" s="1"/>
  <c r="G77" i="17"/>
  <c r="G88" i="17" s="1"/>
  <c r="G133" i="17" s="1"/>
  <c r="G144" i="17" s="1"/>
  <c r="G66" i="17"/>
  <c r="I66" i="17"/>
  <c r="I77" i="17"/>
  <c r="I88" i="17" s="1"/>
  <c r="I133" i="17" s="1"/>
  <c r="I144" i="17" s="1"/>
  <c r="D88" i="17"/>
  <c r="D133" i="17" s="1"/>
  <c r="D144" i="17" s="1"/>
  <c r="E87" i="17"/>
  <c r="E132" i="17" s="1"/>
  <c r="F77" i="17"/>
  <c r="F66" i="17"/>
  <c r="H88" i="17"/>
  <c r="H133" i="17" s="1"/>
  <c r="F87" i="17"/>
  <c r="F132" i="17" s="1"/>
  <c r="C77" i="17"/>
  <c r="C66" i="17"/>
  <c r="B63" i="17"/>
  <c r="B74" i="17"/>
  <c r="B85" i="17" s="1"/>
  <c r="M20" i="16"/>
  <c r="A196" i="4"/>
  <c r="A197" i="4" s="1"/>
  <c r="A198" i="4" s="1"/>
  <c r="A199" i="4" s="1"/>
  <c r="A200" i="4" s="1"/>
  <c r="A201" i="4" s="1"/>
  <c r="A202" i="4" s="1"/>
  <c r="A203" i="4" s="1"/>
  <c r="A204" i="4" s="1"/>
  <c r="B196" i="4"/>
  <c r="B197" i="4"/>
  <c r="B198" i="4"/>
  <c r="B199" i="4"/>
  <c r="B200" i="4"/>
  <c r="B201" i="4"/>
  <c r="B202" i="4"/>
  <c r="B203" i="4"/>
  <c r="B204" i="4"/>
  <c r="B205" i="4"/>
  <c r="B195" i="4"/>
  <c r="D195" i="4" s="1"/>
  <c r="C167" i="4"/>
  <c r="C168" i="4"/>
  <c r="B168" i="4"/>
  <c r="B167" i="4"/>
  <c r="A169" i="4"/>
  <c r="B169" i="4" s="1"/>
  <c r="A170" i="4"/>
  <c r="A171" i="4" s="1"/>
  <c r="A172" i="4" s="1"/>
  <c r="A173" i="4" s="1"/>
  <c r="A174" i="4" s="1"/>
  <c r="A175" i="4" s="1"/>
  <c r="A176" i="4" s="1"/>
  <c r="A177" i="4" s="1"/>
  <c r="B177" i="4" s="1"/>
  <c r="A168" i="4"/>
  <c r="T46" i="13"/>
  <c r="T47" i="13"/>
  <c r="T48" i="13"/>
  <c r="T49" i="13"/>
  <c r="T50" i="13"/>
  <c r="T51" i="13"/>
  <c r="T52" i="13"/>
  <c r="T53" i="13"/>
  <c r="T54" i="13"/>
  <c r="T55" i="13"/>
  <c r="T56" i="13"/>
  <c r="T57" i="13"/>
  <c r="T58" i="13"/>
  <c r="T59" i="13"/>
  <c r="T60" i="13"/>
  <c r="T61" i="13"/>
  <c r="T62" i="13"/>
  <c r="T63" i="13"/>
  <c r="T64" i="13"/>
  <c r="T65" i="13"/>
  <c r="J78" i="17" l="1"/>
  <c r="J67" i="17"/>
  <c r="J79" i="17" s="1"/>
  <c r="K78" i="17"/>
  <c r="K89" i="17" s="1"/>
  <c r="K134" i="17" s="1"/>
  <c r="K67" i="17"/>
  <c r="K79" i="17" s="1"/>
  <c r="I78" i="17"/>
  <c r="I67" i="17"/>
  <c r="I79" i="17" s="1"/>
  <c r="F78" i="17"/>
  <c r="F67" i="17"/>
  <c r="F79" i="17" s="1"/>
  <c r="C78" i="17"/>
  <c r="C67" i="17"/>
  <c r="C79" i="17" s="1"/>
  <c r="H144" i="17"/>
  <c r="I143" i="17"/>
  <c r="H90" i="17"/>
  <c r="E67" i="17"/>
  <c r="E79" i="17" s="1"/>
  <c r="E78" i="17"/>
  <c r="C88" i="17"/>
  <c r="C133" i="17" s="1"/>
  <c r="C144" i="17" s="1"/>
  <c r="G78" i="17"/>
  <c r="G67" i="17"/>
  <c r="G79" i="17" s="1"/>
  <c r="E143" i="17"/>
  <c r="C143" i="17"/>
  <c r="F143" i="17"/>
  <c r="D90" i="17"/>
  <c r="F88" i="17"/>
  <c r="F133" i="17" s="1"/>
  <c r="F144" i="17" s="1"/>
  <c r="G142" i="17"/>
  <c r="B64" i="17"/>
  <c r="B75" i="17"/>
  <c r="C195" i="4"/>
  <c r="B175" i="4"/>
  <c r="C170" i="4"/>
  <c r="C177" i="4"/>
  <c r="C169" i="4"/>
  <c r="A178" i="4"/>
  <c r="B173" i="4"/>
  <c r="C176" i="4"/>
  <c r="B174" i="4"/>
  <c r="B172" i="4"/>
  <c r="C175" i="4"/>
  <c r="B171" i="4"/>
  <c r="C174" i="4"/>
  <c r="B170" i="4"/>
  <c r="C173" i="4"/>
  <c r="C172" i="4"/>
  <c r="B176" i="4"/>
  <c r="C171" i="4"/>
  <c r="C67" i="13"/>
  <c r="E67" i="13" s="1"/>
  <c r="E66" i="13"/>
  <c r="C18" i="13"/>
  <c r="C17" i="13"/>
  <c r="T45" i="13"/>
  <c r="S45" i="13"/>
  <c r="S46" i="13"/>
  <c r="U46" i="13" s="1"/>
  <c r="S47" i="13"/>
  <c r="U47" i="13" s="1"/>
  <c r="S48" i="13"/>
  <c r="S49" i="13"/>
  <c r="S50" i="13"/>
  <c r="S51" i="13"/>
  <c r="U51" i="13" s="1"/>
  <c r="S52" i="13"/>
  <c r="S53" i="13"/>
  <c r="S54" i="13"/>
  <c r="U54" i="13" s="1"/>
  <c r="S55" i="13"/>
  <c r="U55" i="13" s="1"/>
  <c r="S56" i="13"/>
  <c r="S57" i="13"/>
  <c r="S58" i="13"/>
  <c r="S59" i="13"/>
  <c r="U59" i="13" s="1"/>
  <c r="S60" i="13"/>
  <c r="S61" i="13"/>
  <c r="S62" i="13"/>
  <c r="U62" i="13" s="1"/>
  <c r="S63" i="13"/>
  <c r="U63" i="13" s="1"/>
  <c r="S64" i="13"/>
  <c r="S65" i="13"/>
  <c r="E65" i="13"/>
  <c r="E51" i="13"/>
  <c r="E62" i="13"/>
  <c r="C61" i="13"/>
  <c r="K145" i="17" l="1"/>
  <c r="J90" i="17"/>
  <c r="K90" i="17"/>
  <c r="J89" i="17"/>
  <c r="J134" i="17" s="1"/>
  <c r="E90" i="17"/>
  <c r="I90" i="17"/>
  <c r="I135" i="17" s="1"/>
  <c r="I146" i="17" s="1"/>
  <c r="I89" i="17"/>
  <c r="I134" i="17" s="1"/>
  <c r="I145" i="17" s="1"/>
  <c r="C90" i="17"/>
  <c r="C135" i="17" s="1"/>
  <c r="C146" i="17" s="1"/>
  <c r="E89" i="17"/>
  <c r="E134" i="17" s="1"/>
  <c r="E145" i="17" s="1"/>
  <c r="F90" i="17"/>
  <c r="H135" i="17"/>
  <c r="H91" i="17"/>
  <c r="C89" i="17"/>
  <c r="C134" i="17" s="1"/>
  <c r="G90" i="17"/>
  <c r="F89" i="17"/>
  <c r="F134" i="17" s="1"/>
  <c r="F145" i="17" s="1"/>
  <c r="G89" i="17"/>
  <c r="G134" i="17" s="1"/>
  <c r="E135" i="17"/>
  <c r="E146" i="17" s="1"/>
  <c r="D135" i="17"/>
  <c r="D91" i="17"/>
  <c r="B86" i="17"/>
  <c r="B65" i="17"/>
  <c r="B76" i="17"/>
  <c r="A179" i="4"/>
  <c r="B178" i="4"/>
  <c r="C178" i="4"/>
  <c r="U45" i="13"/>
  <c r="U58" i="13"/>
  <c r="U50" i="13"/>
  <c r="U65" i="13"/>
  <c r="U57" i="13"/>
  <c r="U49" i="13"/>
  <c r="U64" i="13"/>
  <c r="U56" i="13"/>
  <c r="U48" i="13"/>
  <c r="U61" i="13"/>
  <c r="U53" i="13"/>
  <c r="U60" i="13"/>
  <c r="U52" i="13"/>
  <c r="E257" i="4"/>
  <c r="E256" i="4"/>
  <c r="F248" i="4"/>
  <c r="F249" i="4" s="1"/>
  <c r="E248" i="4"/>
  <c r="E249" i="4" s="1"/>
  <c r="F246" i="4"/>
  <c r="E246" i="4"/>
  <c r="F237" i="4"/>
  <c r="G237" i="4" s="1"/>
  <c r="F236" i="4"/>
  <c r="G236" i="4" s="1"/>
  <c r="F235" i="4"/>
  <c r="G235" i="4" s="1"/>
  <c r="F229" i="4"/>
  <c r="G229" i="4" s="1"/>
  <c r="F230" i="4"/>
  <c r="G230" i="4" s="1"/>
  <c r="F231" i="4"/>
  <c r="G231" i="4" s="1"/>
  <c r="F232" i="4"/>
  <c r="G232" i="4" s="1"/>
  <c r="F233" i="4"/>
  <c r="G233" i="4" s="1"/>
  <c r="F234" i="4"/>
  <c r="G234" i="4" s="1"/>
  <c r="F228" i="4"/>
  <c r="G228" i="4" s="1"/>
  <c r="C64" i="13"/>
  <c r="E64" i="13" s="1"/>
  <c r="E6" i="13"/>
  <c r="E5" i="13"/>
  <c r="E4" i="13"/>
  <c r="E18" i="13"/>
  <c r="E17" i="13"/>
  <c r="E16" i="13"/>
  <c r="C55" i="13"/>
  <c r="C56" i="13" s="1"/>
  <c r="E54" i="13"/>
  <c r="C53" i="13"/>
  <c r="C57" i="13" s="1"/>
  <c r="E52" i="13"/>
  <c r="E50" i="13"/>
  <c r="E49" i="13"/>
  <c r="E47" i="13"/>
  <c r="E46" i="13"/>
  <c r="J145" i="17" l="1"/>
  <c r="J135" i="17"/>
  <c r="J146" i="17" s="1"/>
  <c r="J91" i="17"/>
  <c r="K135" i="17"/>
  <c r="K91" i="17"/>
  <c r="I148" i="17"/>
  <c r="E91" i="17"/>
  <c r="I91" i="17"/>
  <c r="E148" i="17"/>
  <c r="D146" i="17"/>
  <c r="D148" i="17" s="1"/>
  <c r="D147" i="17"/>
  <c r="D149" i="17" s="1"/>
  <c r="C145" i="17"/>
  <c r="C148" i="17" s="1"/>
  <c r="C147" i="17"/>
  <c r="F135" i="17"/>
  <c r="F91" i="17"/>
  <c r="G135" i="17"/>
  <c r="G146" i="17" s="1"/>
  <c r="G91" i="17"/>
  <c r="G145" i="17"/>
  <c r="C91" i="17"/>
  <c r="E147" i="17"/>
  <c r="E149" i="17" s="1"/>
  <c r="H146" i="17"/>
  <c r="H148" i="17" s="1"/>
  <c r="H147" i="17"/>
  <c r="H149" i="17" s="1"/>
  <c r="I147" i="17"/>
  <c r="I149" i="17" s="1"/>
  <c r="B87" i="17"/>
  <c r="B77" i="17"/>
  <c r="B66" i="17"/>
  <c r="B129" i="17"/>
  <c r="B140" i="17" s="1"/>
  <c r="B127" i="17"/>
  <c r="B138" i="17" s="1"/>
  <c r="B128" i="17"/>
  <c r="B139" i="17" s="1"/>
  <c r="A180" i="4"/>
  <c r="C179" i="4"/>
  <c r="B179" i="4"/>
  <c r="E57" i="13"/>
  <c r="C58" i="13"/>
  <c r="E58" i="13" s="1"/>
  <c r="K45" i="13"/>
  <c r="E55" i="13"/>
  <c r="E250" i="4"/>
  <c r="F250" i="4"/>
  <c r="D66" i="1"/>
  <c r="D60" i="1"/>
  <c r="L50" i="1"/>
  <c r="L59" i="1" s="1"/>
  <c r="R26" i="1"/>
  <c r="R25" i="1"/>
  <c r="T14" i="1"/>
  <c r="V13" i="1"/>
  <c r="R68" i="1"/>
  <c r="R67" i="1"/>
  <c r="R65" i="1"/>
  <c r="R64" i="1"/>
  <c r="W50" i="1"/>
  <c r="I27" i="16"/>
  <c r="H27" i="16"/>
  <c r="G27" i="16"/>
  <c r="H17" i="16"/>
  <c r="I17" i="16"/>
  <c r="H18" i="16"/>
  <c r="I18" i="16"/>
  <c r="H19" i="16"/>
  <c r="I19" i="16"/>
  <c r="H20" i="16"/>
  <c r="I20" i="16"/>
  <c r="H21" i="16"/>
  <c r="I21" i="16"/>
  <c r="H22" i="16"/>
  <c r="I22" i="16"/>
  <c r="H23" i="16"/>
  <c r="I23" i="16"/>
  <c r="H24" i="16"/>
  <c r="I24" i="16"/>
  <c r="H25" i="16"/>
  <c r="I25" i="16"/>
  <c r="H26" i="16"/>
  <c r="I26" i="16"/>
  <c r="G26" i="16"/>
  <c r="G25" i="16"/>
  <c r="G24" i="16"/>
  <c r="G23" i="16"/>
  <c r="G22" i="16"/>
  <c r="G21" i="16"/>
  <c r="G20" i="16"/>
  <c r="G19" i="16"/>
  <c r="G18" i="16"/>
  <c r="G17" i="16"/>
  <c r="C28" i="16"/>
  <c r="L20" i="16"/>
  <c r="L21" i="16"/>
  <c r="L22" i="16"/>
  <c r="L19" i="16"/>
  <c r="N20" i="16"/>
  <c r="O20" i="16"/>
  <c r="M21" i="16"/>
  <c r="N21" i="16"/>
  <c r="O21" i="16"/>
  <c r="M22" i="16"/>
  <c r="N22" i="16"/>
  <c r="O22" i="16"/>
  <c r="N19" i="16"/>
  <c r="O19" i="16"/>
  <c r="M19" i="16"/>
  <c r="C53" i="16"/>
  <c r="I52" i="16"/>
  <c r="H52" i="16"/>
  <c r="G52" i="16"/>
  <c r="I50" i="16"/>
  <c r="H50" i="16"/>
  <c r="G50" i="16"/>
  <c r="I47" i="16"/>
  <c r="H47" i="16"/>
  <c r="G47" i="16"/>
  <c r="I46" i="16"/>
  <c r="H46" i="16"/>
  <c r="G46" i="16"/>
  <c r="L18" i="16"/>
  <c r="L24" i="16"/>
  <c r="L25" i="16"/>
  <c r="L26" i="16"/>
  <c r="L27" i="16"/>
  <c r="L17" i="16"/>
  <c r="M18" i="16"/>
  <c r="N18" i="16"/>
  <c r="O18" i="16"/>
  <c r="N23" i="16"/>
  <c r="O23" i="16"/>
  <c r="M24" i="16"/>
  <c r="N24" i="16"/>
  <c r="O24" i="16"/>
  <c r="M25" i="16"/>
  <c r="N25" i="16"/>
  <c r="O25" i="16"/>
  <c r="M26" i="16"/>
  <c r="N26" i="16"/>
  <c r="O26" i="16"/>
  <c r="M27" i="16"/>
  <c r="N27" i="16"/>
  <c r="O27" i="16"/>
  <c r="N17" i="16"/>
  <c r="O17" i="16"/>
  <c r="M17" i="16"/>
  <c r="I98" i="1"/>
  <c r="J98" i="1" s="1"/>
  <c r="I97" i="1"/>
  <c r="J97" i="1" s="1"/>
  <c r="F67" i="1"/>
  <c r="F64" i="1"/>
  <c r="F100" i="1"/>
  <c r="F68" i="1"/>
  <c r="F65" i="1"/>
  <c r="H14" i="1"/>
  <c r="H15" i="1" s="1"/>
  <c r="H22" i="1"/>
  <c r="J32" i="1"/>
  <c r="J33" i="1"/>
  <c r="J34" i="1"/>
  <c r="J35" i="1"/>
  <c r="J36" i="1"/>
  <c r="J37" i="1"/>
  <c r="J38" i="1"/>
  <c r="J39" i="1"/>
  <c r="J40" i="1"/>
  <c r="J13" i="1"/>
  <c r="F43" i="1"/>
  <c r="F42" i="1"/>
  <c r="F26" i="1"/>
  <c r="F25" i="1"/>
  <c r="J148" i="17" l="1"/>
  <c r="J150" i="17" s="1"/>
  <c r="K146" i="17"/>
  <c r="K148" i="17" s="1"/>
  <c r="K147" i="17"/>
  <c r="K149" i="17" s="1"/>
  <c r="J147" i="17"/>
  <c r="J149" i="17" s="1"/>
  <c r="C150" i="17"/>
  <c r="I150" i="17"/>
  <c r="C149" i="17"/>
  <c r="E150" i="17"/>
  <c r="G147" i="17"/>
  <c r="G149" i="17" s="1"/>
  <c r="F146" i="17"/>
  <c r="F148" i="17" s="1"/>
  <c r="F147" i="17"/>
  <c r="F149" i="17" s="1"/>
  <c r="D150" i="17"/>
  <c r="H150" i="17"/>
  <c r="G148" i="17"/>
  <c r="B78" i="17"/>
  <c r="B67" i="17"/>
  <c r="B79" i="17" s="1"/>
  <c r="B88" i="17"/>
  <c r="B130" i="17"/>
  <c r="B141" i="17" s="1"/>
  <c r="P26" i="16"/>
  <c r="P24" i="16"/>
  <c r="P19" i="16"/>
  <c r="K64" i="1"/>
  <c r="D77" i="1" s="1"/>
  <c r="C77" i="1"/>
  <c r="T15" i="1"/>
  <c r="U15" i="1" s="1"/>
  <c r="V15" i="1" s="1"/>
  <c r="U14" i="1"/>
  <c r="V14" i="1" s="1"/>
  <c r="G28" i="16"/>
  <c r="D28" i="16" s="1"/>
  <c r="I28" i="16"/>
  <c r="F28" i="16" s="1"/>
  <c r="H28" i="16"/>
  <c r="E28" i="16" s="1"/>
  <c r="Q22" i="16"/>
  <c r="P20" i="16"/>
  <c r="P21" i="16"/>
  <c r="P22" i="16"/>
  <c r="P17" i="16"/>
  <c r="P27" i="16"/>
  <c r="Q19" i="16"/>
  <c r="R25" i="16"/>
  <c r="P25" i="16"/>
  <c r="P23" i="16"/>
  <c r="P18" i="16"/>
  <c r="A181" i="4"/>
  <c r="C180" i="4"/>
  <c r="B180" i="4"/>
  <c r="AF45" i="13"/>
  <c r="AD45" i="13"/>
  <c r="AE45" i="13"/>
  <c r="K46" i="13"/>
  <c r="AF46" i="13" s="1"/>
  <c r="M45" i="13"/>
  <c r="P42" i="13" s="1"/>
  <c r="C15" i="13"/>
  <c r="C13" i="13"/>
  <c r="T16" i="1"/>
  <c r="U16" i="1" s="1"/>
  <c r="V16" i="1" s="1"/>
  <c r="F99" i="1"/>
  <c r="I53" i="16"/>
  <c r="F53" i="16" s="1"/>
  <c r="R20" i="16"/>
  <c r="Q20" i="16"/>
  <c r="R19" i="16"/>
  <c r="G53" i="16"/>
  <c r="D53" i="16" s="1"/>
  <c r="R22" i="16"/>
  <c r="H53" i="16"/>
  <c r="E53" i="16" s="1"/>
  <c r="Q24" i="16"/>
  <c r="R23" i="16"/>
  <c r="Q21" i="16"/>
  <c r="Q18" i="16"/>
  <c r="Q23" i="16"/>
  <c r="Q27" i="16"/>
  <c r="R21" i="16"/>
  <c r="R27" i="16"/>
  <c r="R26" i="16"/>
  <c r="Q26" i="16"/>
  <c r="R18" i="16"/>
  <c r="Q25" i="16"/>
  <c r="R24" i="16"/>
  <c r="R17" i="16"/>
  <c r="Q17" i="16"/>
  <c r="L28" i="16"/>
  <c r="C12" i="13"/>
  <c r="H40" i="1"/>
  <c r="T50" i="1" s="1"/>
  <c r="J31" i="1"/>
  <c r="H16" i="1"/>
  <c r="H17" i="1" s="1"/>
  <c r="H18" i="1" s="1"/>
  <c r="H19" i="1" s="1"/>
  <c r="H20" i="1" s="1"/>
  <c r="H21" i="1" s="1"/>
  <c r="H31" i="1"/>
  <c r="H32" i="1" s="1"/>
  <c r="H33" i="1" s="1"/>
  <c r="H34" i="1" s="1"/>
  <c r="H35" i="1" s="1"/>
  <c r="H36" i="1" s="1"/>
  <c r="H37" i="1" s="1"/>
  <c r="H38" i="1" s="1"/>
  <c r="H39" i="1" s="1"/>
  <c r="D24" i="1"/>
  <c r="K150" i="17" l="1"/>
  <c r="G150" i="17"/>
  <c r="F150" i="17"/>
  <c r="B89" i="17"/>
  <c r="B90" i="17"/>
  <c r="B131" i="17"/>
  <c r="B142" i="17" s="1"/>
  <c r="Q28" i="16"/>
  <c r="N28" i="16" s="1"/>
  <c r="K67" i="1"/>
  <c r="D80" i="1" s="1"/>
  <c r="C80" i="1"/>
  <c r="R28" i="16"/>
  <c r="O28" i="16" s="1"/>
  <c r="P28" i="16"/>
  <c r="M28" i="16" s="1"/>
  <c r="A182" i="4"/>
  <c r="C181" i="4"/>
  <c r="B181" i="4"/>
  <c r="L45" i="13"/>
  <c r="N45" i="13"/>
  <c r="O45" i="13" s="1"/>
  <c r="AE46" i="13"/>
  <c r="AD46" i="13"/>
  <c r="K47" i="13"/>
  <c r="AF47" i="13" s="1"/>
  <c r="M46" i="13"/>
  <c r="P45" i="13"/>
  <c r="Q45" i="13"/>
  <c r="E15" i="13"/>
  <c r="C14" i="13"/>
  <c r="C11" i="13" s="1"/>
  <c r="C59" i="13"/>
  <c r="E59" i="13" s="1"/>
  <c r="C60" i="13"/>
  <c r="E60" i="13" s="1"/>
  <c r="I88" i="1"/>
  <c r="J88" i="1" s="1"/>
  <c r="T17" i="1"/>
  <c r="H50" i="1"/>
  <c r="K51" i="1" s="1"/>
  <c r="H88" i="1"/>
  <c r="I15" i="1"/>
  <c r="J15" i="1" s="1"/>
  <c r="I14" i="1"/>
  <c r="J14" i="1" s="1"/>
  <c r="I16" i="1"/>
  <c r="J16" i="1" s="1"/>
  <c r="I17" i="1"/>
  <c r="J17" i="1" s="1"/>
  <c r="I18" i="1"/>
  <c r="J18" i="1" s="1"/>
  <c r="I22" i="1"/>
  <c r="J22" i="1" s="1"/>
  <c r="I19" i="1"/>
  <c r="J19" i="1" s="1"/>
  <c r="I20" i="1"/>
  <c r="J20" i="1" s="1"/>
  <c r="I21" i="1"/>
  <c r="J21" i="1" s="1"/>
  <c r="B91" i="17" l="1"/>
  <c r="B135" i="17"/>
  <c r="B146" i="17" s="1"/>
  <c r="B132" i="17"/>
  <c r="B143" i="17" s="1"/>
  <c r="T18" i="1"/>
  <c r="U18" i="1" s="1"/>
  <c r="V18" i="1" s="1"/>
  <c r="U17" i="1"/>
  <c r="V17" i="1" s="1"/>
  <c r="A183" i="4"/>
  <c r="C182" i="4"/>
  <c r="B182" i="4"/>
  <c r="Z46" i="13"/>
  <c r="Z45" i="13"/>
  <c r="R45" i="13"/>
  <c r="P46" i="13"/>
  <c r="N46" i="13"/>
  <c r="O46" i="13" s="1"/>
  <c r="AE47" i="13"/>
  <c r="K48" i="13"/>
  <c r="AF48" i="13" s="1"/>
  <c r="AD47" i="13"/>
  <c r="M47" i="13"/>
  <c r="Q46" i="13"/>
  <c r="W45" i="13"/>
  <c r="V52" i="13"/>
  <c r="Y52" i="13" s="1"/>
  <c r="V60" i="13"/>
  <c r="Y60" i="13" s="1"/>
  <c r="V55" i="13"/>
  <c r="Y55" i="13" s="1"/>
  <c r="V45" i="13"/>
  <c r="AA45" i="13" s="1"/>
  <c r="V53" i="13"/>
  <c r="Y53" i="13" s="1"/>
  <c r="V61" i="13"/>
  <c r="Y61" i="13" s="1"/>
  <c r="V46" i="13"/>
  <c r="Y46" i="13" s="1"/>
  <c r="V54" i="13"/>
  <c r="Y54" i="13" s="1"/>
  <c r="V62" i="13"/>
  <c r="Y62" i="13" s="1"/>
  <c r="V48" i="13"/>
  <c r="Y48" i="13" s="1"/>
  <c r="V56" i="13"/>
  <c r="Y56" i="13" s="1"/>
  <c r="V64" i="13"/>
  <c r="Y64" i="13" s="1"/>
  <c r="V49" i="13"/>
  <c r="Y49" i="13" s="1"/>
  <c r="V57" i="13"/>
  <c r="Y57" i="13" s="1"/>
  <c r="V65" i="13"/>
  <c r="Y65" i="13" s="1"/>
  <c r="V50" i="13"/>
  <c r="Y50" i="13" s="1"/>
  <c r="V58" i="13"/>
  <c r="Y58" i="13" s="1"/>
  <c r="V47" i="13"/>
  <c r="Y47" i="13" s="1"/>
  <c r="V51" i="13"/>
  <c r="Y51" i="13" s="1"/>
  <c r="V59" i="13"/>
  <c r="Y59" i="13" s="1"/>
  <c r="V63" i="13"/>
  <c r="Y63" i="13" s="1"/>
  <c r="L46" i="13"/>
  <c r="W46" i="13" s="1"/>
  <c r="H58" i="1"/>
  <c r="T58" i="1"/>
  <c r="U50" i="1"/>
  <c r="V50" i="1" s="1"/>
  <c r="I50" i="1"/>
  <c r="D61" i="1" s="1"/>
  <c r="K50" i="1" s="1"/>
  <c r="H89" i="1"/>
  <c r="H90" i="1" s="1"/>
  <c r="H91" i="1" s="1"/>
  <c r="H92" i="1" s="1"/>
  <c r="H93" i="1" s="1"/>
  <c r="H94" i="1" s="1"/>
  <c r="H95" i="1" s="1"/>
  <c r="H96" i="1" s="1"/>
  <c r="H97" i="1"/>
  <c r="B133" i="17" l="1"/>
  <c r="B144" i="17" s="1"/>
  <c r="A184" i="4"/>
  <c r="B183" i="4"/>
  <c r="C183" i="4"/>
  <c r="Z47" i="13"/>
  <c r="R46" i="13"/>
  <c r="X46" i="13"/>
  <c r="AB46" i="13" s="1"/>
  <c r="AC46" i="13"/>
  <c r="Y45" i="13"/>
  <c r="AC45" i="13" s="1"/>
  <c r="P47" i="13"/>
  <c r="N47" i="13"/>
  <c r="O47" i="13" s="1"/>
  <c r="K49" i="13"/>
  <c r="AF49" i="13" s="1"/>
  <c r="AD48" i="13"/>
  <c r="AE48" i="13"/>
  <c r="M48" i="13"/>
  <c r="X45" i="13"/>
  <c r="AB45" i="13" s="1"/>
  <c r="AA46" i="13"/>
  <c r="AA47" i="13"/>
  <c r="L47" i="13"/>
  <c r="Q47" i="13"/>
  <c r="H51" i="1"/>
  <c r="K52" i="1" s="1"/>
  <c r="K58" i="1"/>
  <c r="K59" i="1" s="1"/>
  <c r="J50" i="1"/>
  <c r="T19" i="1"/>
  <c r="U19" i="1" s="1"/>
  <c r="V19" i="1" s="1"/>
  <c r="U58" i="1"/>
  <c r="V58" i="1" s="1"/>
  <c r="T51" i="1"/>
  <c r="U51" i="1" s="1"/>
  <c r="V51" i="1" s="1"/>
  <c r="T59" i="1"/>
  <c r="U59" i="1" s="1"/>
  <c r="V59" i="1" s="1"/>
  <c r="H59" i="1"/>
  <c r="I59" i="1" s="1"/>
  <c r="J59" i="1" s="1"/>
  <c r="I58" i="1"/>
  <c r="J58" i="1" s="1"/>
  <c r="I96" i="1"/>
  <c r="J96" i="1" s="1"/>
  <c r="H98" i="1"/>
  <c r="I89" i="1"/>
  <c r="J89" i="1" s="1"/>
  <c r="I94" i="1"/>
  <c r="J94" i="1" s="1"/>
  <c r="I90" i="1"/>
  <c r="J90" i="1" s="1"/>
  <c r="I91" i="1"/>
  <c r="J91" i="1" s="1"/>
  <c r="I92" i="1"/>
  <c r="J92" i="1" s="1"/>
  <c r="I93" i="1"/>
  <c r="J93" i="1" s="1"/>
  <c r="I95" i="1"/>
  <c r="J95" i="1" s="1"/>
  <c r="B134" i="17" l="1"/>
  <c r="B145" i="17" s="1"/>
  <c r="I65" i="1"/>
  <c r="I68" i="1" s="1"/>
  <c r="A185" i="4"/>
  <c r="B184" i="4"/>
  <c r="C184" i="4"/>
  <c r="Z48" i="13"/>
  <c r="W47" i="13"/>
  <c r="X47" i="13" s="1"/>
  <c r="AB47" i="13" s="1"/>
  <c r="R47" i="13"/>
  <c r="AC47" i="13"/>
  <c r="P48" i="13"/>
  <c r="AA48" i="13" s="1"/>
  <c r="N48" i="13"/>
  <c r="O48" i="13" s="1"/>
  <c r="Q48" i="13"/>
  <c r="AE49" i="13"/>
  <c r="K50" i="13"/>
  <c r="AD49" i="13"/>
  <c r="M49" i="13"/>
  <c r="L48" i="13"/>
  <c r="T52" i="1"/>
  <c r="U52" i="1" s="1"/>
  <c r="V52" i="1" s="1"/>
  <c r="L58" i="1"/>
  <c r="T20" i="1"/>
  <c r="U20" i="1" s="1"/>
  <c r="V20" i="1" s="1"/>
  <c r="H52" i="1"/>
  <c r="K53" i="1" s="1"/>
  <c r="I51" i="1"/>
  <c r="B147" i="17" l="1"/>
  <c r="B149" i="17" s="1"/>
  <c r="B148" i="17"/>
  <c r="C78" i="1"/>
  <c r="A186" i="4"/>
  <c r="B185" i="4"/>
  <c r="C185" i="4"/>
  <c r="Z49" i="13"/>
  <c r="R48" i="13"/>
  <c r="W48" i="13"/>
  <c r="X48" i="13" s="1"/>
  <c r="AB48" i="13" s="1"/>
  <c r="AC48" i="13"/>
  <c r="P49" i="13"/>
  <c r="AA49" i="13" s="1"/>
  <c r="N49" i="13"/>
  <c r="O49" i="13" s="1"/>
  <c r="AE50" i="13"/>
  <c r="K51" i="13"/>
  <c r="AF51" i="13" s="1"/>
  <c r="AD50" i="13"/>
  <c r="M50" i="13"/>
  <c r="AF50" i="13"/>
  <c r="L49" i="13"/>
  <c r="Q49" i="13"/>
  <c r="T53" i="1"/>
  <c r="T54" i="1" s="1"/>
  <c r="U54" i="1" s="1"/>
  <c r="V54" i="1" s="1"/>
  <c r="J51" i="1"/>
  <c r="L52" i="1"/>
  <c r="T21" i="1"/>
  <c r="U21" i="1" s="1"/>
  <c r="V21" i="1" s="1"/>
  <c r="H53" i="1"/>
  <c r="K54" i="1" s="1"/>
  <c r="I52" i="1"/>
  <c r="B150" i="17" l="1"/>
  <c r="A187" i="4"/>
  <c r="B187" i="4" s="1"/>
  <c r="B186" i="4"/>
  <c r="C186" i="4"/>
  <c r="Z50" i="13"/>
  <c r="R49" i="13"/>
  <c r="W49" i="13"/>
  <c r="X49" i="13" s="1"/>
  <c r="AB49" i="13" s="1"/>
  <c r="AC49" i="13"/>
  <c r="P50" i="13"/>
  <c r="N50" i="13"/>
  <c r="O50" i="13" s="1"/>
  <c r="K52" i="13"/>
  <c r="M51" i="13"/>
  <c r="L50" i="13"/>
  <c r="Q50" i="13"/>
  <c r="T55" i="1"/>
  <c r="T56" i="1" s="1"/>
  <c r="U53" i="1"/>
  <c r="V53" i="1" s="1"/>
  <c r="J52" i="1"/>
  <c r="L53" i="1"/>
  <c r="H54" i="1"/>
  <c r="K55" i="1" s="1"/>
  <c r="I53" i="1"/>
  <c r="U55" i="1" l="1"/>
  <c r="V55" i="1" s="1"/>
  <c r="Z51" i="13"/>
  <c r="R50" i="13"/>
  <c r="W50" i="13"/>
  <c r="X50" i="13" s="1"/>
  <c r="AB50" i="13" s="1"/>
  <c r="P51" i="13"/>
  <c r="AA51" i="13" s="1"/>
  <c r="AD51" i="13" s="1"/>
  <c r="N51" i="13"/>
  <c r="O51" i="13" s="1"/>
  <c r="L51" i="13"/>
  <c r="AC50" i="13"/>
  <c r="AA50" i="13"/>
  <c r="K53" i="13"/>
  <c r="M52" i="13"/>
  <c r="AF52" i="13"/>
  <c r="Q51" i="13"/>
  <c r="J53" i="1"/>
  <c r="L54" i="1"/>
  <c r="U56" i="1"/>
  <c r="V56" i="1" s="1"/>
  <c r="T57" i="1"/>
  <c r="U57" i="1" s="1"/>
  <c r="V57" i="1" s="1"/>
  <c r="H55" i="1"/>
  <c r="K56" i="1" s="1"/>
  <c r="I54" i="1"/>
  <c r="Z52" i="13" l="1"/>
  <c r="R51" i="13"/>
  <c r="W51" i="13"/>
  <c r="X51" i="13" s="1"/>
  <c r="AB51" i="13" s="1"/>
  <c r="AE51" i="13" s="1"/>
  <c r="N52" i="13"/>
  <c r="O52" i="13" s="1"/>
  <c r="L52" i="13"/>
  <c r="AC51" i="13"/>
  <c r="P52" i="13"/>
  <c r="Q52" i="13"/>
  <c r="K54" i="13"/>
  <c r="M53" i="13"/>
  <c r="AF53" i="13"/>
  <c r="J54" i="1"/>
  <c r="L55" i="1"/>
  <c r="H56" i="1"/>
  <c r="I55" i="1"/>
  <c r="Z53" i="13" l="1"/>
  <c r="W52" i="13"/>
  <c r="X52" i="13" s="1"/>
  <c r="AB52" i="13" s="1"/>
  <c r="AE52" i="13" s="1"/>
  <c r="R52" i="13"/>
  <c r="AA52" i="13"/>
  <c r="AD52" i="13" s="1"/>
  <c r="AC52" i="13"/>
  <c r="P53" i="13"/>
  <c r="N53" i="13"/>
  <c r="O53" i="13" s="1"/>
  <c r="K55" i="13"/>
  <c r="M54" i="13"/>
  <c r="AF54" i="13"/>
  <c r="Q53" i="13"/>
  <c r="L53" i="13"/>
  <c r="H57" i="1"/>
  <c r="K57" i="1"/>
  <c r="J55" i="1"/>
  <c r="L56" i="1"/>
  <c r="I56" i="1"/>
  <c r="L54" i="13" l="1"/>
  <c r="R54" i="13" s="1"/>
  <c r="Z54" i="13"/>
  <c r="R53" i="13"/>
  <c r="W53" i="13"/>
  <c r="X53" i="13" s="1"/>
  <c r="AB53" i="13" s="1"/>
  <c r="AE53" i="13" s="1"/>
  <c r="N54" i="13"/>
  <c r="O54" i="13" s="1"/>
  <c r="AC53" i="13"/>
  <c r="AA53" i="13"/>
  <c r="AD53" i="13" s="1"/>
  <c r="P54" i="13"/>
  <c r="Q54" i="13"/>
  <c r="K56" i="13"/>
  <c r="M55" i="13"/>
  <c r="AF55" i="13"/>
  <c r="J56" i="1"/>
  <c r="L57" i="1"/>
  <c r="I57" i="1"/>
  <c r="J57" i="1" s="1"/>
  <c r="K65" i="1"/>
  <c r="I66" i="1"/>
  <c r="C81" i="1"/>
  <c r="K68" i="1" l="1"/>
  <c r="D78" i="1"/>
  <c r="K66" i="1"/>
  <c r="D79" i="1" s="1"/>
  <c r="C79" i="1"/>
  <c r="W54" i="13"/>
  <c r="X54" i="13" s="1"/>
  <c r="AB54" i="13" s="1"/>
  <c r="AE54" i="13" s="1"/>
  <c r="Z55" i="13"/>
  <c r="N55" i="13"/>
  <c r="O55" i="13" s="1"/>
  <c r="AA54" i="13"/>
  <c r="AD54" i="13" s="1"/>
  <c r="AC54" i="13"/>
  <c r="L55" i="13"/>
  <c r="P55" i="13"/>
  <c r="Q55" i="13"/>
  <c r="K57" i="13"/>
  <c r="M56" i="13"/>
  <c r="L60" i="1" l="1"/>
  <c r="D81" i="1"/>
  <c r="Z56" i="13"/>
  <c r="W55" i="13"/>
  <c r="X55" i="13" s="1"/>
  <c r="AB55" i="13" s="1"/>
  <c r="AE55" i="13" s="1"/>
  <c r="R55" i="13"/>
  <c r="AA55" i="13"/>
  <c r="AD55" i="13" s="1"/>
  <c r="AC55" i="13"/>
  <c r="P56" i="13"/>
  <c r="N56" i="13"/>
  <c r="O56" i="13" s="1"/>
  <c r="K58" i="13"/>
  <c r="M57" i="13"/>
  <c r="L56" i="13"/>
  <c r="Q56" i="13"/>
  <c r="L57" i="13" l="1"/>
  <c r="Z57" i="13"/>
  <c r="R56" i="13"/>
  <c r="W56" i="13"/>
  <c r="X56" i="13" s="1"/>
  <c r="AB56" i="13" s="1"/>
  <c r="AE56" i="13" s="1"/>
  <c r="R57" i="13"/>
  <c r="W57" i="13"/>
  <c r="X57" i="13" s="1"/>
  <c r="AC56" i="13"/>
  <c r="AF56" i="13" s="1"/>
  <c r="AA56" i="13"/>
  <c r="AD56" i="13" s="1"/>
  <c r="P57" i="13"/>
  <c r="N57" i="13"/>
  <c r="O57" i="13" s="1"/>
  <c r="Q57" i="13"/>
  <c r="K59" i="13"/>
  <c r="M58" i="13"/>
  <c r="Z58" i="13" l="1"/>
  <c r="AB57" i="13"/>
  <c r="AE57" i="13" s="1"/>
  <c r="P58" i="13"/>
  <c r="N58" i="13"/>
  <c r="O58" i="13" s="1"/>
  <c r="Q58" i="13"/>
  <c r="L58" i="13"/>
  <c r="AC57" i="13"/>
  <c r="AF57" i="13" s="1"/>
  <c r="AA57" i="13"/>
  <c r="AD57" i="13" s="1"/>
  <c r="K60" i="13"/>
  <c r="M59" i="13"/>
  <c r="L59" i="13" l="1"/>
  <c r="Z59" i="13"/>
  <c r="W58" i="13"/>
  <c r="X58" i="13" s="1"/>
  <c r="AB58" i="13" s="1"/>
  <c r="AE58" i="13" s="1"/>
  <c r="R58" i="13"/>
  <c r="W59" i="13"/>
  <c r="X59" i="13" s="1"/>
  <c r="R59" i="13"/>
  <c r="N59" i="13"/>
  <c r="O59" i="13" s="1"/>
  <c r="AC58" i="13"/>
  <c r="AF58" i="13" s="1"/>
  <c r="AA58" i="13"/>
  <c r="AD58" i="13" s="1"/>
  <c r="P59" i="13"/>
  <c r="Q59" i="13"/>
  <c r="K61" i="13"/>
  <c r="M60" i="13"/>
  <c r="Z60" i="13" l="1"/>
  <c r="AA59" i="13"/>
  <c r="AD59" i="13" s="1"/>
  <c r="AC59" i="13"/>
  <c r="AF59" i="13" s="1"/>
  <c r="N60" i="13"/>
  <c r="O60" i="13" s="1"/>
  <c r="L60" i="13"/>
  <c r="AB59" i="13"/>
  <c r="AE59" i="13" s="1"/>
  <c r="P60" i="13"/>
  <c r="Q60" i="13"/>
  <c r="K62" i="13"/>
  <c r="M61" i="13"/>
  <c r="Z61" i="13" l="1"/>
  <c r="W60" i="13"/>
  <c r="X60" i="13" s="1"/>
  <c r="AB60" i="13" s="1"/>
  <c r="AE60" i="13" s="1"/>
  <c r="R60" i="13"/>
  <c r="AA60" i="13"/>
  <c r="AD60" i="13" s="1"/>
  <c r="AC60" i="13"/>
  <c r="AF60" i="13" s="1"/>
  <c r="N61" i="13"/>
  <c r="O61" i="13" s="1"/>
  <c r="M62" i="13"/>
  <c r="K63" i="13"/>
  <c r="P61" i="13"/>
  <c r="Q61" i="13"/>
  <c r="L61" i="13"/>
  <c r="L62" i="13" l="1"/>
  <c r="Z62" i="13"/>
  <c r="W61" i="13"/>
  <c r="X61" i="13" s="1"/>
  <c r="AB61" i="13" s="1"/>
  <c r="AE61" i="13" s="1"/>
  <c r="R61" i="13"/>
  <c r="R62" i="13"/>
  <c r="W62" i="13"/>
  <c r="X62" i="13" s="1"/>
  <c r="Q62" i="13"/>
  <c r="AA61" i="13"/>
  <c r="AD61" i="13" s="1"/>
  <c r="AC61" i="13"/>
  <c r="AF61" i="13" s="1"/>
  <c r="P62" i="13"/>
  <c r="N62" i="13"/>
  <c r="O62" i="13" s="1"/>
  <c r="M63" i="13"/>
  <c r="K64" i="13"/>
  <c r="Q63" i="13" l="1"/>
  <c r="Z63" i="13"/>
  <c r="AB62" i="13"/>
  <c r="AE62" i="13" s="1"/>
  <c r="P63" i="13"/>
  <c r="N63" i="13"/>
  <c r="O63" i="13" s="1"/>
  <c r="L63" i="13"/>
  <c r="AC62" i="13"/>
  <c r="AF62" i="13" s="1"/>
  <c r="AA62" i="13"/>
  <c r="AD62" i="13" s="1"/>
  <c r="M64" i="13"/>
  <c r="K65" i="13"/>
  <c r="Z64" i="13" l="1"/>
  <c r="W63" i="13"/>
  <c r="X63" i="13" s="1"/>
  <c r="AB63" i="13" s="1"/>
  <c r="AE63" i="13" s="1"/>
  <c r="R63" i="13"/>
  <c r="P64" i="13"/>
  <c r="N64" i="13"/>
  <c r="O64" i="13" s="1"/>
  <c r="L64" i="13"/>
  <c r="Q64" i="13"/>
  <c r="AC63" i="13"/>
  <c r="AF63" i="13" s="1"/>
  <c r="AA63" i="13"/>
  <c r="AD63" i="13" s="1"/>
  <c r="M65" i="13"/>
  <c r="Z65" i="13" l="1"/>
  <c r="R64" i="13"/>
  <c r="W64" i="13"/>
  <c r="X64" i="13" s="1"/>
  <c r="AB64" i="13" s="1"/>
  <c r="AE64" i="13" s="1"/>
  <c r="N65" i="13"/>
  <c r="O65" i="13" s="1"/>
  <c r="Q65" i="13"/>
  <c r="AC64" i="13"/>
  <c r="AF64" i="13" s="1"/>
  <c r="AA64" i="13"/>
  <c r="AD64" i="13" s="1"/>
  <c r="P65" i="13"/>
  <c r="L65" i="13"/>
  <c r="R65" i="13" l="1"/>
  <c r="W65" i="13"/>
  <c r="X65" i="13" s="1"/>
  <c r="AB65" i="13" s="1"/>
  <c r="AA65" i="13"/>
  <c r="AC65" i="13"/>
  <c r="AE65" i="13" l="1"/>
  <c r="AE66" i="13" s="1"/>
  <c r="AB66" i="13"/>
  <c r="AC66" i="13"/>
  <c r="AF65" i="13"/>
  <c r="AF66" i="13" s="1"/>
  <c r="AD65" i="13"/>
  <c r="AD66" i="13" s="1"/>
  <c r="AA66" i="13"/>
  <c r="D196" i="4"/>
  <c r="C196" i="4"/>
  <c r="C197" i="4"/>
  <c r="D197" i="4" l="1"/>
  <c r="C198" i="4" l="1"/>
  <c r="D198" i="4"/>
  <c r="D199" i="4" l="1"/>
  <c r="C199" i="4"/>
  <c r="C200" i="4" l="1"/>
  <c r="D200" i="4"/>
  <c r="D201" i="4" l="1"/>
  <c r="C201" i="4"/>
  <c r="D202" i="4" l="1"/>
  <c r="C202" i="4"/>
  <c r="D203" i="4" l="1"/>
  <c r="C203" i="4"/>
  <c r="D204" i="4" l="1"/>
  <c r="C204" i="4"/>
  <c r="C205" i="4" l="1"/>
  <c r="D205" i="4"/>
  <c r="N46" i="16"/>
  <c r="N47" i="16"/>
</calcChain>
</file>

<file path=xl/comments1.xml><?xml version="1.0" encoding="utf-8"?>
<comments xmlns="http://schemas.openxmlformats.org/spreadsheetml/2006/main">
  <authors>
    <author>Archimedean2345</author>
  </authors>
  <commentList>
    <comment ref="F227" authorId="0" shapeId="0">
      <text>
        <r>
          <rPr>
            <b/>
            <sz val="9"/>
            <color indexed="81"/>
            <rFont val="Tahoma"/>
            <family val="2"/>
          </rPr>
          <t>Archimedean2345:</t>
        </r>
        <r>
          <rPr>
            <sz val="9"/>
            <color indexed="81"/>
            <rFont val="Tahoma"/>
            <family val="2"/>
          </rPr>
          <t xml:space="preserve">
Es el inverso de la ecuacacion no. 1.</t>
        </r>
      </text>
    </comment>
  </commentList>
</comments>
</file>

<file path=xl/comments2.xml><?xml version="1.0" encoding="utf-8"?>
<comments xmlns="http://schemas.openxmlformats.org/spreadsheetml/2006/main">
  <authors>
    <author>Juan Leonardo Valadez Ortiz</author>
  </authors>
  <commentList>
    <comment ref="A12" authorId="0" shapeId="0">
      <text>
        <r>
          <rPr>
            <b/>
            <sz val="9"/>
            <color indexed="81"/>
            <rFont val="Tahoma"/>
            <charset val="1"/>
          </rPr>
          <t>Juan Leonardo Valadez Ortiz:</t>
        </r>
        <r>
          <rPr>
            <sz val="9"/>
            <color indexed="81"/>
            <rFont val="Tahoma"/>
            <charset val="1"/>
          </rPr>
          <t xml:space="preserve">
Slimness "delgadez" que tan delgado es el cohete en relación a su largo</t>
        </r>
      </text>
    </comment>
    <comment ref="A14" authorId="0" shapeId="0">
      <text>
        <r>
          <rPr>
            <b/>
            <sz val="9"/>
            <color indexed="81"/>
            <rFont val="Tahoma"/>
            <charset val="1"/>
          </rPr>
          <t>Juan Leonardo Valadez Ortiz:</t>
        </r>
        <r>
          <rPr>
            <sz val="9"/>
            <color indexed="81"/>
            <rFont val="Tahoma"/>
            <charset val="1"/>
          </rPr>
          <t xml:space="preserve">
F=ma</t>
        </r>
      </text>
    </comment>
  </commentList>
</comments>
</file>

<file path=xl/comments3.xml><?xml version="1.0" encoding="utf-8"?>
<comments xmlns="http://schemas.openxmlformats.org/spreadsheetml/2006/main">
  <authors>
    <author>Archimedean2345</author>
  </authors>
  <commentList>
    <comment ref="T22" authorId="0" shapeId="0">
      <text>
        <r>
          <rPr>
            <b/>
            <sz val="9"/>
            <color indexed="81"/>
            <rFont val="Tahoma"/>
            <charset val="1"/>
          </rPr>
          <t>Archimedean2345:</t>
        </r>
        <r>
          <rPr>
            <sz val="9"/>
            <color indexed="81"/>
            <rFont val="Tahoma"/>
            <charset val="1"/>
          </rPr>
          <t xml:space="preserve">
Ixx= Σm(y^2 + z^2)
Iyy= Σm(x^2 + z^2)
Izz= Σm(x^2 + y^2)
Ixy= Iyx= Σmxy
Ixz= Izx= Σmxz
Iyz= Izy= Σmyz</t>
        </r>
      </text>
    </comment>
  </commentList>
</comments>
</file>

<file path=xl/comments4.xml><?xml version="1.0" encoding="utf-8"?>
<comments xmlns="http://schemas.openxmlformats.org/spreadsheetml/2006/main">
  <authors>
    <author>Leonardo Valadez Ortiz</author>
  </authors>
  <commentList>
    <comment ref="A170" authorId="0" shapeId="0">
      <text>
        <r>
          <rPr>
            <b/>
            <sz val="9"/>
            <color indexed="81"/>
            <rFont val="Tahoma"/>
            <charset val="1"/>
          </rPr>
          <t>Leonardo Valadez Ortiz:</t>
        </r>
        <r>
          <rPr>
            <sz val="9"/>
            <color indexed="81"/>
            <rFont val="Tahoma"/>
            <charset val="1"/>
          </rPr>
          <t xml:space="preserve">
Reynolds &gt; viscosity
Mach &gt; compressibility</t>
        </r>
      </text>
    </comment>
  </commentList>
</comments>
</file>

<file path=xl/comments5.xml><?xml version="1.0" encoding="utf-8"?>
<comments xmlns="http://schemas.openxmlformats.org/spreadsheetml/2006/main">
  <authors>
    <author>Archimedean2345</author>
  </authors>
  <commentList>
    <comment ref="B11" authorId="0" shapeId="0">
      <text>
        <r>
          <rPr>
            <b/>
            <sz val="9"/>
            <color indexed="81"/>
            <rFont val="Tahoma"/>
            <charset val="1"/>
          </rPr>
          <t>Archimedean2345:</t>
        </r>
        <r>
          <rPr>
            <sz val="9"/>
            <color indexed="81"/>
            <rFont val="Tahoma"/>
            <charset val="1"/>
          </rPr>
          <t xml:space="preserve">
Consider compressibility effects after 0.3 Mach, </t>
        </r>
        <r>
          <rPr>
            <b/>
            <sz val="9"/>
            <color indexed="81"/>
            <rFont val="Tahoma"/>
            <family val="2"/>
          </rPr>
          <t>check for RPT 1.</t>
        </r>
        <r>
          <rPr>
            <sz val="9"/>
            <color indexed="81"/>
            <rFont val="Tahoma"/>
            <family val="2"/>
          </rPr>
          <t xml:space="preserve">
</t>
        </r>
        <r>
          <rPr>
            <sz val="9"/>
            <color indexed="81"/>
            <rFont val="Tahoma"/>
            <charset val="1"/>
          </rPr>
          <t xml:space="preserve">
</t>
        </r>
        <r>
          <rPr>
            <b/>
            <sz val="9"/>
            <color indexed="81"/>
            <rFont val="Tahoma"/>
            <family val="2"/>
          </rPr>
          <t>no color:</t>
        </r>
        <r>
          <rPr>
            <sz val="9"/>
            <color indexed="81"/>
            <rFont val="Tahoma"/>
            <family val="2"/>
          </rPr>
          <t xml:space="preserve"> incompressible
</t>
        </r>
        <r>
          <rPr>
            <b/>
            <sz val="9"/>
            <color indexed="81"/>
            <rFont val="Tahoma"/>
            <family val="2"/>
          </rPr>
          <t>yellow:</t>
        </r>
        <r>
          <rPr>
            <sz val="9"/>
            <color indexed="81"/>
            <rFont val="Tahoma"/>
            <family val="2"/>
          </rPr>
          <t xml:space="preserve"> &lt;0.3 Mach compressible
</t>
        </r>
        <r>
          <rPr>
            <b/>
            <sz val="9"/>
            <color indexed="81"/>
            <rFont val="Tahoma"/>
            <family val="2"/>
          </rPr>
          <t>orange:</t>
        </r>
        <r>
          <rPr>
            <sz val="9"/>
            <color indexed="81"/>
            <rFont val="Tahoma"/>
            <family val="2"/>
          </rPr>
          <t xml:space="preserve"> compressible
</t>
        </r>
        <r>
          <rPr>
            <b/>
            <sz val="9"/>
            <color indexed="81"/>
            <rFont val="Tahoma"/>
            <family val="2"/>
          </rPr>
          <t>red:</t>
        </r>
        <r>
          <rPr>
            <sz val="9"/>
            <color indexed="81"/>
            <rFont val="Tahoma"/>
            <family val="2"/>
          </rPr>
          <t xml:space="preserve"> sonic behavior</t>
        </r>
      </text>
    </comment>
    <comment ref="B12" authorId="0" shapeId="0">
      <text>
        <r>
          <rPr>
            <b/>
            <sz val="9"/>
            <color indexed="81"/>
            <rFont val="Tahoma"/>
            <family val="2"/>
          </rPr>
          <t>Archimedean2345:</t>
        </r>
        <r>
          <rPr>
            <sz val="9"/>
            <color indexed="81"/>
            <rFont val="Tahoma"/>
            <family val="2"/>
          </rPr>
          <t xml:space="preserve">
</t>
        </r>
        <r>
          <rPr>
            <b/>
            <sz val="9"/>
            <color indexed="81"/>
            <rFont val="Tahoma"/>
            <family val="2"/>
          </rPr>
          <t>no color:</t>
        </r>
        <r>
          <rPr>
            <sz val="9"/>
            <color indexed="81"/>
            <rFont val="Tahoma"/>
            <family val="2"/>
          </rPr>
          <t xml:space="preserve"> incompressible
</t>
        </r>
        <r>
          <rPr>
            <b/>
            <sz val="9"/>
            <color indexed="81"/>
            <rFont val="Tahoma"/>
            <family val="2"/>
          </rPr>
          <t>orange:</t>
        </r>
        <r>
          <rPr>
            <sz val="9"/>
            <color indexed="81"/>
            <rFont val="Tahoma"/>
            <family val="2"/>
          </rPr>
          <t xml:space="preserve"> compressible efects</t>
        </r>
      </text>
    </comment>
    <comment ref="B43" authorId="0" shapeId="0">
      <text>
        <r>
          <rPr>
            <b/>
            <sz val="9"/>
            <color indexed="81"/>
            <rFont val="Tahoma"/>
            <family val="2"/>
          </rPr>
          <t>Archimedean2345:</t>
        </r>
        <r>
          <rPr>
            <sz val="9"/>
            <color indexed="81"/>
            <rFont val="Tahoma"/>
            <family val="2"/>
          </rPr>
          <t xml:space="preserve">
Agregar la funcion de poder variar el tipo de aleta con una tabla pivote
</t>
        </r>
        <r>
          <rPr>
            <u/>
            <sz val="9"/>
            <color indexed="81"/>
            <rFont val="Tahoma"/>
            <family val="2"/>
          </rPr>
          <t xml:space="preserve">revision 1
</t>
        </r>
        <r>
          <rPr>
            <sz val="9"/>
            <color indexed="81"/>
            <rFont val="Tahoma"/>
            <family val="2"/>
          </rPr>
          <t xml:space="preserve">No funciono una tabla pivote, es mas facil variar las variables geometricas en el diseño aerodinamico por las iteraciones 
en vez de usar una tabla pivote realizar un condicional tipo lista, donde se seleccione el tipo de aleta para proyectar la grafica
grafica dinamica, en funcion de la seleccion del tipo de aleta la grafica del diseño cambia
</t>
        </r>
      </text>
    </comment>
    <comment ref="R44" authorId="0" shapeId="0">
      <text>
        <r>
          <rPr>
            <b/>
            <sz val="9"/>
            <color indexed="81"/>
            <rFont val="Tahoma"/>
            <family val="2"/>
          </rPr>
          <t>Archimedean2345:</t>
        </r>
        <r>
          <rPr>
            <sz val="9"/>
            <color indexed="81"/>
            <rFont val="Tahoma"/>
            <family val="2"/>
          </rPr>
          <t xml:space="preserve">
Only for incompressible flow, check for data at graph if M &gt; 0.3
Data required for CFD </t>
        </r>
      </text>
    </comment>
    <comment ref="V44" authorId="0" shapeId="0">
      <text>
        <r>
          <rPr>
            <b/>
            <sz val="9"/>
            <color indexed="81"/>
            <rFont val="Tahoma"/>
            <family val="2"/>
          </rPr>
          <t>Archimedean2345:</t>
        </r>
        <r>
          <rPr>
            <sz val="9"/>
            <color indexed="81"/>
            <rFont val="Tahoma"/>
            <family val="2"/>
          </rPr>
          <t xml:space="preserve">
</t>
        </r>
        <r>
          <rPr>
            <b/>
            <sz val="9"/>
            <color indexed="81"/>
            <rFont val="Tahoma"/>
            <family val="2"/>
          </rPr>
          <t>Green:</t>
        </r>
        <r>
          <rPr>
            <sz val="9"/>
            <color indexed="81"/>
            <rFont val="Tahoma"/>
            <family val="2"/>
          </rPr>
          <t xml:space="preserve"> subsonic, incompressible flow, mid-low aspect ratio, mid-low reynolds
 M&lt;0.3, Re&lt;500,000
</t>
        </r>
        <r>
          <rPr>
            <b/>
            <sz val="9"/>
            <color indexed="81"/>
            <rFont val="Tahoma"/>
            <family val="2"/>
          </rPr>
          <t>Yellow</t>
        </r>
        <r>
          <rPr>
            <sz val="9"/>
            <color indexed="81"/>
            <rFont val="Tahoma"/>
            <family val="2"/>
          </rPr>
          <t xml:space="preserve">: transonic, compressible flow, mid-low aspect ratio, high reynolds and complex wing/fin form
0.7&gt;M&gt;0.3, Re&gt;500,000
</t>
        </r>
        <r>
          <rPr>
            <b/>
            <sz val="9"/>
            <color indexed="81"/>
            <rFont val="Tahoma"/>
            <family val="2"/>
          </rPr>
          <t>Red:</t>
        </r>
        <r>
          <rPr>
            <sz val="9"/>
            <color indexed="81"/>
            <rFont val="Tahoma"/>
            <family val="2"/>
          </rPr>
          <t xml:space="preserve"> sonic, compressible flow, mid-low aspect ratio, high reynolds and complex wing/fin form
M&gt;1</t>
        </r>
      </text>
    </comment>
    <comment ref="W44" authorId="0" shapeId="0">
      <text>
        <r>
          <rPr>
            <b/>
            <sz val="9"/>
            <color indexed="81"/>
            <rFont val="Tahoma"/>
            <family val="2"/>
          </rPr>
          <t>Archimedean2345:</t>
        </r>
        <r>
          <rPr>
            <sz val="9"/>
            <color indexed="81"/>
            <rFont val="Tahoma"/>
            <family val="2"/>
          </rPr>
          <t xml:space="preserve">
pp 823 de Fundamentals of Aerodynamics, drag by friction </t>
        </r>
      </text>
    </comment>
    <comment ref="X44" authorId="0" shapeId="0">
      <text>
        <r>
          <rPr>
            <b/>
            <sz val="9"/>
            <color indexed="81"/>
            <rFont val="Tahoma"/>
            <charset val="1"/>
          </rPr>
          <t>Archimedean2345:</t>
        </r>
        <r>
          <rPr>
            <sz val="9"/>
            <color indexed="81"/>
            <rFont val="Tahoma"/>
            <charset val="1"/>
          </rPr>
          <t xml:space="preserve">
The drag force is equal to:
D= Dform + Dfriction + Dinterference + Dind + Dwave
where: 
0.015 &lt;Cdform &lt; 0.003
Cdinterf.= 0.2(Cdfrict + Cdform)</t>
        </r>
      </text>
    </comment>
    <comment ref="Y44" authorId="0" shapeId="0">
      <text>
        <r>
          <rPr>
            <b/>
            <sz val="9"/>
            <color indexed="81"/>
            <rFont val="Tahoma"/>
            <family val="2"/>
          </rPr>
          <t>Archimedean2345:</t>
        </r>
        <r>
          <rPr>
            <sz val="9"/>
            <color indexed="81"/>
            <rFont val="Tahoma"/>
            <family val="2"/>
          </rPr>
          <t xml:space="preserve">
This moment coefficient can vary due to location of moment measured</t>
        </r>
      </text>
    </comment>
    <comment ref="B51" authorId="0" shapeId="0">
      <text>
        <r>
          <rPr>
            <b/>
            <sz val="9"/>
            <color indexed="81"/>
            <rFont val="Tahoma"/>
            <family val="2"/>
          </rPr>
          <t>Archimedean2345:</t>
        </r>
        <r>
          <rPr>
            <sz val="9"/>
            <color indexed="81"/>
            <rFont val="Tahoma"/>
            <family val="2"/>
          </rPr>
          <t xml:space="preserve">
Maximum thickness of fin
</t>
        </r>
      </text>
    </comment>
  </commentList>
</comments>
</file>

<file path=xl/sharedStrings.xml><?xml version="1.0" encoding="utf-8"?>
<sst xmlns="http://schemas.openxmlformats.org/spreadsheetml/2006/main" count="935" uniqueCount="596">
  <si>
    <t>Overview</t>
  </si>
  <si>
    <t>Nomenclature</t>
  </si>
  <si>
    <t>α(alpha)= Angle of attack (radians or degrees)</t>
  </si>
  <si>
    <t>β(beta)= subsonic or supersonic similarity parameter</t>
  </si>
  <si>
    <t>𝛿∗(delta) = (displacement) thickness of the boundary layer (m)</t>
  </si>
  <si>
    <t>θ= Pitch angle (radians)</t>
  </si>
  <si>
    <t>θdot= Pitch rate (radians/second). The dot is Newton’s notation for time rate of change.</t>
  </si>
  <si>
    <t>Φ= Climb angle (also known as flight path angle or trajectory angle), (radians)</t>
  </si>
  <si>
    <t>ρ = Atmospheric density (kg/m3)</t>
  </si>
  <si>
    <t>A = Acceleration (m/sec2)</t>
  </si>
  <si>
    <t>C_A= axial force coefficient (dimensionless)</t>
  </si>
  <si>
    <t>C_C centroid of planform area coefficient (2Xp / L)</t>
  </si>
  <si>
    <t>C_D = Drag coefficient (dimensionless)</t>
  </si>
  <si>
    <t>C_F = mean skin-friction coefficient (dimensionless)</t>
  </si>
  <si>
    <t>C_H = damping moment (dimensionless)</t>
  </si>
  <si>
    <t>C_L = Lift coefficient (dimensionless)</t>
  </si>
  <si>
    <t>C_M = (pitching) moment coefficient (dimensionless)</t>
  </si>
  <si>
    <t>C_Malpha = gradient of the pitching moment coefficient curve</t>
  </si>
  <si>
    <t>C_N= Normal force coefficient (dimensionless)</t>
  </si>
  <si>
    <t>C_Nalpha=Gradient of Normal force coefficient per radian angle of attack (1/radian)</t>
  </si>
  <si>
    <t>C_NC= lift contribution from the ‘cross flow’ around the circumference</t>
  </si>
  <si>
    <t>C_P =planform area coefficient (Sp/dL), or alternatively, = pressure coefficient</t>
  </si>
  <si>
    <t>C_R = root chord length (m)</t>
  </si>
  <si>
    <t>C_T = tip chord length (m)</t>
  </si>
  <si>
    <t>d = Diameter of (thickest part of) the fuselage (m)</t>
  </si>
  <si>
    <t>d_R = boat-tail smaller diameter (m)</t>
  </si>
  <si>
    <t>I = moment of inertia (kgm2)</t>
  </si>
  <si>
    <t>L = overall length of the vehicle (m)</t>
  </si>
  <si>
    <t>L_C = length of cylindrical portion of forebody (m)</t>
  </si>
  <si>
    <t>L_F = length of fin midchord (m)</t>
  </si>
  <si>
    <t>L_N = length of the nosecone (m)</t>
  </si>
  <si>
    <t>L_T = boat-tail length (m)</t>
  </si>
  <si>
    <t>m = mass (kg)</t>
  </si>
  <si>
    <t>M = moment (Nm)</t>
  </si>
  <si>
    <t>N = normal force (N)</t>
  </si>
  <si>
    <t>n = number of fins (3 or 4)</t>
  </si>
  <si>
    <t>q = dynamic pressure (Nm2)</t>
  </si>
  <si>
    <t>r = fuselage radius (m)</t>
  </si>
  <si>
    <t>S = Cross-sectional area of (thickest part of) the fuselage (m2)</t>
  </si>
  <si>
    <t>s = fin semi-span (root chord to tip chord) or net semi span (m)</t>
  </si>
  <si>
    <t>S_p = planform area (m2)</t>
  </si>
  <si>
    <t>V = Velocity (m/sec)</t>
  </si>
  <si>
    <t>X = centre of pressure position (m)</t>
  </si>
  <si>
    <t>X_p = centroid of planform area (m)</t>
  </si>
  <si>
    <t>Titulo:</t>
  </si>
  <si>
    <t>"Numeroc critico de Mach"</t>
  </si>
  <si>
    <t>RPT</t>
  </si>
  <si>
    <t>RPT 1.1</t>
  </si>
  <si>
    <t>Pagina:</t>
  </si>
  <si>
    <t>de</t>
  </si>
  <si>
    <t>Realizo:</t>
  </si>
  <si>
    <t xml:space="preserve">Leonardo Valadez </t>
  </si>
  <si>
    <t>Edito:</t>
  </si>
  <si>
    <t>Creación:</t>
  </si>
  <si>
    <t>30 dic 2024</t>
  </si>
  <si>
    <t>Edición:</t>
  </si>
  <si>
    <t>Referencias:</t>
  </si>
  <si>
    <t>(Fundamentals of Aerodynamics pp. 755)</t>
  </si>
  <si>
    <t>Objetivo: entender el transfondo teorico del numero critico de Mach y como afecta en el comprotamiento de</t>
  </si>
  <si>
    <t>vehiculo en movimiento</t>
  </si>
  <si>
    <r>
      <t xml:space="preserve">El flujo </t>
    </r>
    <r>
      <rPr>
        <i/>
        <sz val="10"/>
        <color theme="1"/>
        <rFont val="Time"/>
      </rPr>
      <t>transonico</t>
    </r>
    <r>
      <rPr>
        <sz val="10"/>
        <color theme="1"/>
        <rFont val="Time"/>
      </rPr>
      <t xml:space="preserve"> es aquel que sucede entre 0.8 &lt; Mach &lt; 1.2 donde el flujo libre a pesar de no encontrarse como sonico</t>
    </r>
  </si>
  <si>
    <t>puede ocasionar ondas de choque</t>
  </si>
  <si>
    <t>Consideremos un perfil alar en un flujo a baja velocidad, M= 0.3.</t>
  </si>
  <si>
    <t>La particula de aire al pasar por la zona superior, el numero M local</t>
  </si>
  <si>
    <r>
      <t xml:space="preserve">aumenta. En el punto </t>
    </r>
    <r>
      <rPr>
        <i/>
        <sz val="10"/>
        <color theme="1"/>
        <rFont val="Time"/>
      </rPr>
      <t>A</t>
    </r>
    <r>
      <rPr>
        <sz val="10"/>
        <color theme="1"/>
        <rFont val="Time"/>
      </rPr>
      <t xml:space="preserve"> suponiendo un numero de 0.435 ira</t>
    </r>
  </si>
  <si>
    <t>aumentando conforme el numero de Mach del flujo aumente, hasta</t>
  </si>
  <si>
    <t>llegar al numero de Mach critico, en este ejemplo siendo M=0.61.</t>
  </si>
  <si>
    <t>La siguiente grafica muesta la comparativa en donde los coeficientes</t>
  </si>
  <si>
    <t>de presion que sean calculados a lo largo de la superficie del perfil,</t>
  </si>
  <si>
    <t>al ser graficados y comparados contra los coeficientes debido al mach</t>
  </si>
  <si>
    <t>critico, hay un punto en donde intersectan, siendo este el Mcritico.</t>
  </si>
  <si>
    <r>
      <t xml:space="preserve">Para el coeficiente de presion, </t>
    </r>
    <r>
      <rPr>
        <i/>
        <sz val="10"/>
        <color theme="1"/>
        <rFont val="Time"/>
      </rPr>
      <t>Cp0</t>
    </r>
    <r>
      <rPr>
        <sz val="10"/>
        <color theme="1"/>
        <rFont val="Time"/>
      </rPr>
      <t xml:space="preserve"> se puede estimar mediante CFD o analisis de flujo potencial.</t>
    </r>
  </si>
  <si>
    <t>De Karman-Tsien, la correcion para el Cp0 en fluido compresible:</t>
  </si>
  <si>
    <t>Para la obtencion del numero de Mach critico:</t>
  </si>
  <si>
    <t>"Numero critico de Mach"</t>
  </si>
  <si>
    <t>23-dic-2024</t>
  </si>
  <si>
    <t>Tabulacion de numero critico de Mach para 0.5 &lt; M &lt; 1.5</t>
  </si>
  <si>
    <t>Cp0,minP</t>
  </si>
  <si>
    <t>Mach</t>
  </si>
  <si>
    <t>Cp,cr</t>
  </si>
  <si>
    <t>Cp</t>
  </si>
  <si>
    <t>For a flat plate we can assume thin airfoil theory were the upper surface experience higher velocity V&gt;Vstream</t>
  </si>
  <si>
    <t>and the lower surface experience a lower velocity V&lt;Vstream, for a 1 meter chord length flat pate, at V=100 m/s at different</t>
  </si>
  <si>
    <t>AoA we have this distribution</t>
  </si>
  <si>
    <t>AoA</t>
  </si>
  <si>
    <t>c location</t>
  </si>
  <si>
    <t>Cp upper</t>
  </si>
  <si>
    <t>Cp lower</t>
  </si>
  <si>
    <t xml:space="preserve"> </t>
  </si>
  <si>
    <t>"Fluido compresible"</t>
  </si>
  <si>
    <t>Objetivo: demostrar la importancia de la inclusion en la hoja de datos la variabilidad de parametros</t>
  </si>
  <si>
    <t xml:space="preserve"> termodinamicos como la densidad a regimenes transonicos, subsonicos y supersonicos.</t>
  </si>
  <si>
    <t xml:space="preserve">Partiendo de que un fluido en reposo cuenta con cierta densidad, a nivel del mar podemos establecer una </t>
  </si>
  <si>
    <t xml:space="preserve">densidad de  1.225 kg/m^3. Si aceleramos este fluido por algun dispositivo como una tobera aceleradora </t>
  </si>
  <si>
    <t>a cierta Velocidad (V)  y cierto numero de Mach (M) la densidad cambiara de acuerdo a la siguiente ecuación.</t>
  </si>
  <si>
    <t>Eq. 1</t>
  </si>
  <si>
    <t>Donde si graficamos los resultados observaremos</t>
  </si>
  <si>
    <t>que hay un cambio mas drastico a partir de 0.3 Mach.</t>
  </si>
  <si>
    <t>M</t>
  </si>
  <si>
    <t>ρ/ρ0</t>
  </si>
  <si>
    <t>Error %</t>
  </si>
  <si>
    <t xml:space="preserve">Un eror de mas del 5% ya no es </t>
  </si>
  <si>
    <t xml:space="preserve">permisible  para un analisis donde la </t>
  </si>
  <si>
    <t>magnitud de la densidad es importante.</t>
  </si>
  <si>
    <t xml:space="preserve">Reforzando mas la importancia de este </t>
  </si>
  <si>
    <t xml:space="preserve">concepto, un analisis para un fluido </t>
  </si>
  <si>
    <t>incompresible realmente es un mito.</t>
  </si>
  <si>
    <t>A partir de los siguientes dos metodos</t>
  </si>
  <si>
    <t>de analisis reforzaremos este concepto.</t>
  </si>
  <si>
    <t>Eq de Bernoullis</t>
  </si>
  <si>
    <t xml:space="preserve">Para una P0 atmosferica de 101,325 Pa, velocidadades de 80 m/s y 300 m/s y </t>
  </si>
  <si>
    <t xml:space="preserve">una temperatura a nivel del mar estandar de 15 grados celisus (288.15K) </t>
  </si>
  <si>
    <t>determinaremos la varianza a dos velocidades distintas.</t>
  </si>
  <si>
    <t>Analisis con Bernoulli</t>
  </si>
  <si>
    <t>Analisis de fluido</t>
  </si>
  <si>
    <t>Velocidad</t>
  </si>
  <si>
    <t>m/s</t>
  </si>
  <si>
    <t>compresible</t>
  </si>
  <si>
    <t>Temperatura</t>
  </si>
  <si>
    <t>K</t>
  </si>
  <si>
    <t>Presion</t>
  </si>
  <si>
    <t>Pa</t>
  </si>
  <si>
    <t>Ecuacion de energia</t>
  </si>
  <si>
    <t>Analisis con fluido compresible</t>
  </si>
  <si>
    <t xml:space="preserve">para punto de </t>
  </si>
  <si>
    <t>estancamiento</t>
  </si>
  <si>
    <t>% desviacion</t>
  </si>
  <si>
    <t>El error es tan grande cuando tus velocidades ya son cercanas o superiores a la velocidad del</t>
  </si>
  <si>
    <t>sonido, para una velocidad del sonido al nivel del mar de 330 m/s tenemos que</t>
  </si>
  <si>
    <t>V1</t>
  </si>
  <si>
    <t>80 m/s</t>
  </si>
  <si>
    <t>V2</t>
  </si>
  <si>
    <t>300 m/s</t>
  </si>
  <si>
    <t>"CFD en flujo compresible"</t>
  </si>
  <si>
    <t>RPT 2</t>
  </si>
  <si>
    <t>Chapter 4: Modeling External Compressible Flow</t>
  </si>
  <si>
    <t>https://innovationspace.ansys.com/product/aerodynamics-of-a-rocket-using-ansys-fluent/</t>
  </si>
  <si>
    <t xml:space="preserve">Objetivo: utilizar la herramienta ANSYS Fluent para analisis de fluido compresible en regimen </t>
  </si>
  <si>
    <t>subsonico-transonico para evaluar geometrias del cohete.</t>
  </si>
  <si>
    <t xml:space="preserve">Nombre de conete </t>
  </si>
  <si>
    <t>Sherpa</t>
  </si>
  <si>
    <t>AgniAstra</t>
  </si>
  <si>
    <t>Anduril‑1</t>
  </si>
  <si>
    <t>Xenia‑2</t>
  </si>
  <si>
    <t>MVP‑1</t>
  </si>
  <si>
    <t>Lakshya</t>
  </si>
  <si>
    <t>AR‑1 with LAYANG‑1</t>
  </si>
  <si>
    <t>H‑7</t>
  </si>
  <si>
    <t>MMR‑06</t>
  </si>
  <si>
    <t>RH‑75</t>
  </si>
  <si>
    <t>Promedio</t>
  </si>
  <si>
    <t xml:space="preserve">Moda </t>
  </si>
  <si>
    <t>Mediana</t>
  </si>
  <si>
    <t>Desviacion 1</t>
  </si>
  <si>
    <t>Desviacion 2</t>
  </si>
  <si>
    <t>Desviacion 3</t>
  </si>
  <si>
    <t>Desviacion 4</t>
  </si>
  <si>
    <t>Desviacion 5</t>
  </si>
  <si>
    <t>Desviacion 6</t>
  </si>
  <si>
    <t>Desviacion 7</t>
  </si>
  <si>
    <t>Desviacion 8</t>
  </si>
  <si>
    <t>Desviacion 9</t>
  </si>
  <si>
    <t>Desviacion 10</t>
  </si>
  <si>
    <t>Minimo</t>
  </si>
  <si>
    <t>Maximo</t>
  </si>
  <si>
    <t>Diferencia</t>
  </si>
  <si>
    <t>Largo (m)</t>
  </si>
  <si>
    <t>Masa En seco (kg)</t>
  </si>
  <si>
    <t>Masa Total (kg)</t>
  </si>
  <si>
    <t>Masa Carga Util (kg)</t>
  </si>
  <si>
    <t>Impulso Total (Ns)</t>
  </si>
  <si>
    <t>Empuje Maximo (N)</t>
  </si>
  <si>
    <t>Aceleracion Maxima (m/s)</t>
  </si>
  <si>
    <t>22.73 G</t>
  </si>
  <si>
    <t>Velocidad Maxima  (m/s)</t>
  </si>
  <si>
    <t>Diametro (cm)</t>
  </si>
  <si>
    <t>L/D</t>
  </si>
  <si>
    <t>Isp (sec)</t>
  </si>
  <si>
    <t>Acc max. (m/s2)</t>
  </si>
  <si>
    <t>Gs flight</t>
  </si>
  <si>
    <t>T/W take off</t>
  </si>
  <si>
    <t>Preguntas</t>
  </si>
  <si>
    <t>Overall dimensions of rocket</t>
  </si>
  <si>
    <t>Length (m)</t>
  </si>
  <si>
    <t>Diameter (cm)</t>
  </si>
  <si>
    <t>Cr (cm)</t>
  </si>
  <si>
    <t>Ct (cm)</t>
  </si>
  <si>
    <t>LE (deg)</t>
  </si>
  <si>
    <t>Cross-Sec A (m^2)</t>
  </si>
  <si>
    <t>Enlarging (cm)</t>
  </si>
  <si>
    <t>Geometry determination of components</t>
  </si>
  <si>
    <t>Type</t>
  </si>
  <si>
    <t>Conical</t>
  </si>
  <si>
    <t>X</t>
  </si>
  <si>
    <t>Y</t>
  </si>
  <si>
    <t>Y(-)</t>
  </si>
  <si>
    <t>Ogive</t>
  </si>
  <si>
    <t>Nosecone</t>
  </si>
  <si>
    <t>Geometry description</t>
  </si>
  <si>
    <t>R</t>
  </si>
  <si>
    <t>Eq for curvature</t>
  </si>
  <si>
    <t>-</t>
  </si>
  <si>
    <t>Diameter</t>
  </si>
  <si>
    <t>cm</t>
  </si>
  <si>
    <t>m</t>
  </si>
  <si>
    <t>Large</t>
  </si>
  <si>
    <t>Comments</t>
  </si>
  <si>
    <t>Nosecone type conical, easy to manufacture and design. High drag and less heat transfer.</t>
  </si>
  <si>
    <t>References</t>
  </si>
  <si>
    <t>Solidworks Tutorial - Equation Driven Curve - YouTube</t>
  </si>
  <si>
    <t>Rocket tube</t>
  </si>
  <si>
    <t>Transition diameter</t>
  </si>
  <si>
    <t>Length</t>
  </si>
  <si>
    <t>Fuselage tube for intern components</t>
  </si>
  <si>
    <t>AERO mark</t>
  </si>
  <si>
    <t>Sweeped</t>
  </si>
  <si>
    <t>Y(LE)</t>
  </si>
  <si>
    <t>Y(LE-)</t>
  </si>
  <si>
    <t>X_aero</t>
  </si>
  <si>
    <t>Tapered 1/4 chord</t>
  </si>
  <si>
    <t>Y(-LE)</t>
  </si>
  <si>
    <t>Fins</t>
  </si>
  <si>
    <t>slope</t>
  </si>
  <si>
    <t>LE sweep</t>
  </si>
  <si>
    <t>deg</t>
  </si>
  <si>
    <t>Aero-geometry corrected</t>
  </si>
  <si>
    <t>AR</t>
  </si>
  <si>
    <t>Transition</t>
  </si>
  <si>
    <t>B1</t>
  </si>
  <si>
    <t>Cross-sec A (per fin)</t>
  </si>
  <si>
    <t>m^2</t>
  </si>
  <si>
    <t>Fyn type</t>
  </si>
  <si>
    <t>Trapezoidal</t>
  </si>
  <si>
    <t>Thickness</t>
  </si>
  <si>
    <t>mm</t>
  </si>
  <si>
    <t>Enlarging (per fin)</t>
  </si>
  <si>
    <t>Ct</t>
  </si>
  <si>
    <t>Cr</t>
  </si>
  <si>
    <t>Taper ratio</t>
  </si>
  <si>
    <t>Semi-wing</t>
  </si>
  <si>
    <t>Span</t>
  </si>
  <si>
    <t>Location</t>
  </si>
  <si>
    <t>Total surface reference</t>
  </si>
  <si>
    <t>cm^2</t>
  </si>
  <si>
    <t>Sweeped fins easy to manufacture</t>
  </si>
  <si>
    <t>Tapered fins are efficient but complicated to manufacture. Efficient at low speeds</t>
  </si>
  <si>
    <t>DATA</t>
  </si>
  <si>
    <t>Fin type</t>
  </si>
  <si>
    <t>Tapered 1/4</t>
  </si>
  <si>
    <t>Tapered sweeped</t>
  </si>
  <si>
    <t>Column4</t>
  </si>
  <si>
    <t>Column5</t>
  </si>
  <si>
    <t>Surface area</t>
  </si>
  <si>
    <t>Boat-tail</t>
  </si>
  <si>
    <t>Diameter transition</t>
  </si>
  <si>
    <t>Diameter to rocket</t>
  </si>
  <si>
    <t>Boat-tail according to literature reduce tail drag in burnout condition</t>
  </si>
  <si>
    <t>Center of gravity location from datum</t>
  </si>
  <si>
    <t xml:space="preserve">                    </t>
  </si>
  <si>
    <t>Inertia tensor</t>
  </si>
  <si>
    <t>Mass (gr)</t>
  </si>
  <si>
    <t>x</t>
  </si>
  <si>
    <t>y</t>
  </si>
  <si>
    <t>z</t>
  </si>
  <si>
    <t>Mx</t>
  </si>
  <si>
    <t>My</t>
  </si>
  <si>
    <t>Mz</t>
  </si>
  <si>
    <t>meters</t>
  </si>
  <si>
    <t>Mass (kg)</t>
  </si>
  <si>
    <t>Nose cone</t>
  </si>
  <si>
    <t>Fuselage</t>
  </si>
  <si>
    <t>Fin 1 xy</t>
  </si>
  <si>
    <t>Fin 2 xy</t>
  </si>
  <si>
    <t>Fin 3 xz</t>
  </si>
  <si>
    <t>Fin 4 xz</t>
  </si>
  <si>
    <t>Equations</t>
  </si>
  <si>
    <t>Boat tail</t>
  </si>
  <si>
    <t>Avionics</t>
  </si>
  <si>
    <t>Ixx</t>
  </si>
  <si>
    <t>Iyx</t>
  </si>
  <si>
    <t>Ixz</t>
  </si>
  <si>
    <t>Recovery</t>
  </si>
  <si>
    <t>Ixy</t>
  </si>
  <si>
    <t>Iyy</t>
  </si>
  <si>
    <t>Iyz</t>
  </si>
  <si>
    <t>PS</t>
  </si>
  <si>
    <t>Motor</t>
  </si>
  <si>
    <t>Izx</t>
  </si>
  <si>
    <t>Izz</t>
  </si>
  <si>
    <t>Payload</t>
  </si>
  <si>
    <t>Overall CG</t>
  </si>
  <si>
    <t>Overall assembly from CAD</t>
  </si>
  <si>
    <t>Avionics - components</t>
  </si>
  <si>
    <t>Tubo</t>
  </si>
  <si>
    <t>Flight comp</t>
  </si>
  <si>
    <t>Parametros</t>
  </si>
  <si>
    <t>Unidades</t>
  </si>
  <si>
    <t>Fibra seleccionada</t>
  </si>
  <si>
    <t>Unidad</t>
  </si>
  <si>
    <t>Sensor 1</t>
  </si>
  <si>
    <t>Dext</t>
  </si>
  <si>
    <t>Densidad</t>
  </si>
  <si>
    <t>kg/m^3</t>
  </si>
  <si>
    <t>Sensor 2</t>
  </si>
  <si>
    <t>Dint</t>
  </si>
  <si>
    <t>Vf</t>
  </si>
  <si>
    <t>%</t>
  </si>
  <si>
    <t>Sensor 3</t>
  </si>
  <si>
    <t>PCB &amp; cables</t>
  </si>
  <si>
    <t>thickness</t>
  </si>
  <si>
    <t>Matriz seleccionada</t>
  </si>
  <si>
    <t>Transceiver</t>
  </si>
  <si>
    <t>Antena</t>
  </si>
  <si>
    <t>gr/cm3</t>
  </si>
  <si>
    <t>Vm</t>
  </si>
  <si>
    <t>GPS</t>
  </si>
  <si>
    <t>Masa calculada</t>
  </si>
  <si>
    <t>gr</t>
  </si>
  <si>
    <t>kg</t>
  </si>
  <si>
    <t>Por aleta</t>
  </si>
  <si>
    <t>Center of pressure location from datum</t>
  </si>
  <si>
    <t>Force/
pressure ()</t>
  </si>
  <si>
    <t>Root</t>
  </si>
  <si>
    <t>kg/m3</t>
  </si>
  <si>
    <t>Tip</t>
  </si>
  <si>
    <t>Overall CP</t>
  </si>
  <si>
    <t>Overall assembly CP from CFD</t>
  </si>
  <si>
    <t>CE</t>
  </si>
  <si>
    <t>Comp</t>
  </si>
  <si>
    <t>Shear</t>
  </si>
  <si>
    <t>Bending</t>
  </si>
  <si>
    <t>Forebody (cone + fus.)</t>
  </si>
  <si>
    <t>CG</t>
  </si>
  <si>
    <t>Total</t>
  </si>
  <si>
    <t xml:space="preserve">                                                Iterations
Input variables (ambient)</t>
  </si>
  <si>
    <t>Airflow (m/s)</t>
  </si>
  <si>
    <t>U (m/s)</t>
  </si>
  <si>
    <t>V (m/s)</t>
  </si>
  <si>
    <t>W (m/s)</t>
  </si>
  <si>
    <t xml:space="preserve">Mach </t>
  </si>
  <si>
    <t>AoA (deg) symmetric x,z</t>
  </si>
  <si>
    <t>AoS  (deg) slideslip, symmetric x,y</t>
  </si>
  <si>
    <t>AoA (rad)</t>
  </si>
  <si>
    <t>AoS (rad)</t>
  </si>
  <si>
    <t>Altitude (m)</t>
  </si>
  <si>
    <t>Local static pressure (Pa)</t>
  </si>
  <si>
    <t>Density local (kg/m3)</t>
  </si>
  <si>
    <t>Temperature local (K)</t>
  </si>
  <si>
    <t>Dynamic viscosity  (Pa*s)</t>
  </si>
  <si>
    <t>Kinematic viscosity (m2/s)</t>
  </si>
  <si>
    <t>Gust wind (m/s)</t>
  </si>
  <si>
    <t>Modified AoA (deg)</t>
  </si>
  <si>
    <t>Modified AoS (deg)</t>
  </si>
  <si>
    <t>Modified AoA (rad)</t>
  </si>
  <si>
    <t>Modified AoS (rad)</t>
  </si>
  <si>
    <t>Max-Q (max. Dynamic pressure) Pa</t>
  </si>
  <si>
    <t>Cross-sec area (m^2)</t>
  </si>
  <si>
    <t>Forces (loads)</t>
  </si>
  <si>
    <t>Local pressure (Pa)</t>
  </si>
  <si>
    <t>Gust wind U (m/s)</t>
  </si>
  <si>
    <t>Gust wind V (m/s)</t>
  </si>
  <si>
    <t>Gust wind W (m/s)</t>
  </si>
  <si>
    <t>Fin geometry design (per fin)</t>
  </si>
  <si>
    <t>Diameter of rocket (cm)</t>
  </si>
  <si>
    <t xml:space="preserve"> (m)</t>
  </si>
  <si>
    <t>Real chord root (cm)</t>
  </si>
  <si>
    <t>(m)</t>
  </si>
  <si>
    <t>Physical chord root (cm)</t>
  </si>
  <si>
    <t>Chord tip (cm)</t>
  </si>
  <si>
    <t>Thickness (mm)</t>
  </si>
  <si>
    <t>LE sweep (deg)</t>
  </si>
  <si>
    <t>Taper ratio (-)</t>
  </si>
  <si>
    <t>Semi-span (cm)</t>
  </si>
  <si>
    <t>Enlarging (cm) (per fin)</t>
  </si>
  <si>
    <t>Real surface (m2) (per fin)</t>
  </si>
  <si>
    <t>Physical Lifting surface (m2) (per fin)</t>
  </si>
  <si>
    <t>AR (-)</t>
  </si>
  <si>
    <t>Numeric segmentation  for N=10</t>
  </si>
  <si>
    <t>semi-span-separation (m)</t>
  </si>
  <si>
    <t>chord-slope</t>
  </si>
  <si>
    <t>Station (semi-span-location, m)</t>
  </si>
  <si>
    <t>Station (chord, m)</t>
  </si>
  <si>
    <t>Station (local-area, m^2)</t>
  </si>
  <si>
    <t>Aero parameters</t>
  </si>
  <si>
    <t>Aerodynamic corrected slope</t>
  </si>
  <si>
    <t>den</t>
  </si>
  <si>
    <t>num 1</t>
  </si>
  <si>
    <t>num 2</t>
  </si>
  <si>
    <t>Reynolds max TE</t>
  </si>
  <si>
    <t>Reynolds min TE</t>
  </si>
  <si>
    <t>Cl corrected</t>
  </si>
  <si>
    <t>Data points (Lift)</t>
  </si>
  <si>
    <t>CL per fin 3D</t>
  </si>
  <si>
    <t>Data points (CL due AoA, M&lt;0.5)</t>
  </si>
  <si>
    <t>Forebody Near-Zero AoA</t>
  </si>
  <si>
    <t>Lift</t>
  </si>
  <si>
    <t>Mach numb</t>
  </si>
  <si>
    <t>L_n/d</t>
  </si>
  <si>
    <t>largo</t>
  </si>
  <si>
    <t>1 cal</t>
  </si>
  <si>
    <t>cal</t>
  </si>
  <si>
    <t>Forebody Finite AoA</t>
  </si>
  <si>
    <t>For Mach = 0.5</t>
  </si>
  <si>
    <t>C_NC</t>
  </si>
  <si>
    <t>dC_NC</t>
  </si>
  <si>
    <t>avg</t>
  </si>
  <si>
    <t>Only valid for +/- 5 deg</t>
  </si>
  <si>
    <t>Mach number</t>
  </si>
  <si>
    <t>d(C_NC)/da</t>
  </si>
  <si>
    <t>For C_PL</t>
  </si>
  <si>
    <t>planform coefficient</t>
  </si>
  <si>
    <t>L-N</t>
  </si>
  <si>
    <t>length of cone</t>
  </si>
  <si>
    <t>L-M</t>
  </si>
  <si>
    <t>length of circular section between cone and tail</t>
  </si>
  <si>
    <t>L-T</t>
  </si>
  <si>
    <t>length of boat-tail</t>
  </si>
  <si>
    <t>L</t>
  </si>
  <si>
    <t>total length</t>
  </si>
  <si>
    <t>Traslational and rotational inputs</t>
  </si>
  <si>
    <t>Velocity components</t>
  </si>
  <si>
    <t>Row Labels</t>
  </si>
  <si>
    <t>Sum of Drag (interfered)</t>
  </si>
  <si>
    <t>Sum of Lift (interfered</t>
  </si>
  <si>
    <t>u</t>
  </si>
  <si>
    <t>km/hr</t>
  </si>
  <si>
    <t>v</t>
  </si>
  <si>
    <t>w</t>
  </si>
  <si>
    <t>Acceleration due to thrust</t>
  </si>
  <si>
    <t>u_dot</t>
  </si>
  <si>
    <t>m/s^2</t>
  </si>
  <si>
    <t>v_dot</t>
  </si>
  <si>
    <t>w_dot</t>
  </si>
  <si>
    <t>Density</t>
  </si>
  <si>
    <t>Viscosity</t>
  </si>
  <si>
    <t>N*s/m^2</t>
  </si>
  <si>
    <t>Speed of sound</t>
  </si>
  <si>
    <t>Temperature</t>
  </si>
  <si>
    <t>ºC</t>
  </si>
  <si>
    <t>Altitude</t>
  </si>
  <si>
    <t>km</t>
  </si>
  <si>
    <t>alpha</t>
  </si>
  <si>
    <t>rad</t>
  </si>
  <si>
    <t>beta</t>
  </si>
  <si>
    <t>tetha</t>
  </si>
  <si>
    <t>phi</t>
  </si>
  <si>
    <t>psi</t>
  </si>
  <si>
    <t>p</t>
  </si>
  <si>
    <t>rad/s</t>
  </si>
  <si>
    <t>q</t>
  </si>
  <si>
    <t>r</t>
  </si>
  <si>
    <t>Grand Total</t>
  </si>
  <si>
    <t>Geometric data (RPT 5.)</t>
  </si>
  <si>
    <t>Airfoil data fins</t>
  </si>
  <si>
    <t>Node</t>
  </si>
  <si>
    <t>Span position (m)</t>
  </si>
  <si>
    <t>Local max Reynolds</t>
  </si>
  <si>
    <t>Local chord (m)</t>
  </si>
  <si>
    <t>Local taper ratio</t>
  </si>
  <si>
    <t>Local MAC (m)</t>
  </si>
  <si>
    <t>Local surface (m^2)</t>
  </si>
  <si>
    <t>Local wetted surface (m^2)</t>
  </si>
  <si>
    <t>Boundary-layer thickness (m)</t>
  </si>
  <si>
    <t>Local u (m/s)</t>
  </si>
  <si>
    <t>Local w (m/s)</t>
  </si>
  <si>
    <t>AoA fins (rad)</t>
  </si>
  <si>
    <t>Cl</t>
  </si>
  <si>
    <t>Cf</t>
  </si>
  <si>
    <t>Cd</t>
  </si>
  <si>
    <t>Cm,LE</t>
  </si>
  <si>
    <t>Xcp location</t>
  </si>
  <si>
    <t>Drag</t>
  </si>
  <si>
    <t>Moment (x-z)</t>
  </si>
  <si>
    <t>Lift (interfered</t>
  </si>
  <si>
    <t>Drag (interfered)</t>
  </si>
  <si>
    <t>Moment (interfered)</t>
  </si>
  <si>
    <t>Camber</t>
  </si>
  <si>
    <t>Incidence angle</t>
  </si>
  <si>
    <t>Torsion angle</t>
  </si>
  <si>
    <t xml:space="preserve">t </t>
  </si>
  <si>
    <t>MAC</t>
  </si>
  <si>
    <t>CP location</t>
  </si>
  <si>
    <t>Re_max</t>
  </si>
  <si>
    <t>Re_min</t>
  </si>
  <si>
    <t>No of Segments</t>
  </si>
  <si>
    <t>Aerodynamic slope</t>
  </si>
  <si>
    <t>ideal</t>
  </si>
  <si>
    <t>Cd form</t>
  </si>
  <si>
    <t>Vmin at launch</t>
  </si>
  <si>
    <t>Fuselage outer diameter</t>
  </si>
  <si>
    <t>Real semi-span</t>
  </si>
  <si>
    <t>cmm</t>
  </si>
  <si>
    <t>Model for aircraft dynamics</t>
  </si>
  <si>
    <t>Total der.</t>
  </si>
  <si>
    <t>Derivative</t>
  </si>
  <si>
    <t>Description</t>
  </si>
  <si>
    <t>Notes</t>
  </si>
  <si>
    <t>CL</t>
  </si>
  <si>
    <t>Lift coefficient</t>
  </si>
  <si>
    <t>Lifting capability</t>
  </si>
  <si>
    <t>CD</t>
  </si>
  <si>
    <t>Drag coefficient</t>
  </si>
  <si>
    <t>Aircraft total drag</t>
  </si>
  <si>
    <t>CXu</t>
  </si>
  <si>
    <t>Change in drag (or axial force) coefficient due to forward velocity u'</t>
  </si>
  <si>
    <t>aerodynamic drag behavior</t>
  </si>
  <si>
    <t>Drag force</t>
  </si>
  <si>
    <t>CXα</t>
  </si>
  <si>
    <t>Change in drag (or axial force) coefficient due to angle of attack α'</t>
  </si>
  <si>
    <t>drag increases with α</t>
  </si>
  <si>
    <t>CXq</t>
  </si>
  <si>
    <t>Change in drag (or axial force) coefficient due to pitch rate q'</t>
  </si>
  <si>
    <t>drag increase pitching up or down</t>
  </si>
  <si>
    <t>CZu</t>
  </si>
  <si>
    <t>Change in lift coefficient due to forward velocity u'</t>
  </si>
  <si>
    <t>aerodynamic lift behavior</t>
  </si>
  <si>
    <t>Lift force</t>
  </si>
  <si>
    <t>CZα</t>
  </si>
  <si>
    <t>Change in lift coefficient due to angle of attack α'</t>
  </si>
  <si>
    <t>lift generated due changes in α</t>
  </si>
  <si>
    <t>CZq</t>
  </si>
  <si>
    <t>Change in lift coefficient due to pitch rate q'</t>
  </si>
  <si>
    <t>lift generated by pitching</t>
  </si>
  <si>
    <t>CYß</t>
  </si>
  <si>
    <t>Change in side force coefficient due to slideslip angle ß'</t>
  </si>
  <si>
    <t>side force generated by slideslip, lateral-directional</t>
  </si>
  <si>
    <t>Side force</t>
  </si>
  <si>
    <t>CYp</t>
  </si>
  <si>
    <t>Change in side force coefficient due to roll rate p'</t>
  </si>
  <si>
    <t>side  force due to rolling rate</t>
  </si>
  <si>
    <t>CYr</t>
  </si>
  <si>
    <t>Change in side force coefficient due to yaw rate r'</t>
  </si>
  <si>
    <t>side  force generated by yaw rate</t>
  </si>
  <si>
    <t>CLp</t>
  </si>
  <si>
    <t>Change in rolling coefficient due to roll rate p' (roll ramping)</t>
  </si>
  <si>
    <t>stabilizing moment resisting rollingmotion</t>
  </si>
  <si>
    <t>Rolling moment</t>
  </si>
  <si>
    <t>CLß</t>
  </si>
  <si>
    <t>Change in rolling coefficient due to slideslip angle ß'</t>
  </si>
  <si>
    <t>dihedral effect</t>
  </si>
  <si>
    <t>CLr</t>
  </si>
  <si>
    <t>Change in rolling moment coefficient due to yaw rate r'</t>
  </si>
  <si>
    <t>yaw-roll coupling, important for dutch roll</t>
  </si>
  <si>
    <t>CMu</t>
  </si>
  <si>
    <t>Change in pitching moment coefficient due to changes in forward velocity u'</t>
  </si>
  <si>
    <t>indicates change in pitching moment</t>
  </si>
  <si>
    <t>Pitching moment</t>
  </si>
  <si>
    <t>CMα</t>
  </si>
  <si>
    <t>Change in pitching moment coefficient due to changes angle of attack α'</t>
  </si>
  <si>
    <t>determines aircraft stability margin</t>
  </si>
  <si>
    <t>CMq</t>
  </si>
  <si>
    <t>Change in pitching moment coefficient due to changes in pitch rate q (pitch damping)</t>
  </si>
  <si>
    <t>damping moment that resist furtherchanges in pitch rate</t>
  </si>
  <si>
    <t>CNß</t>
  </si>
  <si>
    <t>Change in yawing moment coefficient due to slideslip ß'</t>
  </si>
  <si>
    <t xml:space="preserve">restoring yawing moment </t>
  </si>
  <si>
    <t>Yawing moment</t>
  </si>
  <si>
    <t>CNp</t>
  </si>
  <si>
    <t>Change in yawing moment coefficient due to roll rate p'</t>
  </si>
  <si>
    <t>yawing tendency during rolling motion</t>
  </si>
  <si>
    <t>CNr</t>
  </si>
  <si>
    <t>Change in yawing moment coefficient due to yaw rate r' (yaw damping)</t>
  </si>
  <si>
    <t xml:space="preserve">yaw damping moment, provides dynamic stability </t>
  </si>
  <si>
    <t>Reduced model to rocket dynamics</t>
  </si>
  <si>
    <t>Z</t>
  </si>
  <si>
    <t>Pitch P</t>
  </si>
  <si>
    <t>Roll Q</t>
  </si>
  <si>
    <t>Yaw R</t>
  </si>
  <si>
    <t>Temperature local (C°)</t>
  </si>
  <si>
    <t>Mach (for data)</t>
  </si>
  <si>
    <t>Speed of sound (m/s)</t>
  </si>
  <si>
    <t>Atmosphere conditions</t>
  </si>
  <si>
    <t>dCL/dAlpha due Mach &amp; AoA</t>
  </si>
  <si>
    <t>dCL/dAlpha due Mach (AoA&lt;25 deg)</t>
  </si>
  <si>
    <t>y (wall separation, mm)</t>
  </si>
  <si>
    <t>y (wall separation, m)</t>
  </si>
  <si>
    <t>First term</t>
  </si>
  <si>
    <t>chord Re segmentation (tip or root)</t>
  </si>
  <si>
    <t>Chord y+ segmentation</t>
  </si>
  <si>
    <t>Total Area Sum m^2</t>
  </si>
  <si>
    <t xml:space="preserve">Linearized theoretical data </t>
  </si>
  <si>
    <t>Aerodynamic theoretical forces per fin</t>
  </si>
  <si>
    <t>y+ sonic MAX Re TE</t>
  </si>
  <si>
    <t>y+ subsonic MAX Re TE</t>
  </si>
  <si>
    <t xml:space="preserve">                                                   Iterations
Input variables (ambient)</t>
  </si>
  <si>
    <t>Data points (Moment due Lift Myz)</t>
  </si>
  <si>
    <t>TOTAL Myz due lift (Newtons)</t>
  </si>
  <si>
    <t>TOTAL Lift (Newtons)</t>
  </si>
  <si>
    <t>CP loc. of fin 3D (cm)</t>
  </si>
  <si>
    <t>AoA (deg) x,z Lift</t>
  </si>
  <si>
    <t>AoA (deg) x,z SideForce</t>
  </si>
  <si>
    <t>AoA (deg) x,z Drag</t>
  </si>
  <si>
    <t>Mach (std temp 288K, 1 atm)</t>
  </si>
  <si>
    <t>Atmosphere and boundary layer cond</t>
  </si>
  <si>
    <t>Aerodynamic CFD static coeficients per fin</t>
  </si>
  <si>
    <t>Aerodynamic CFD dynamic coeficients per fin</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</si>
</sst>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
    <numFmt numFmtId="165" formatCode="0.000"/>
    <numFmt numFmtId="166" formatCode="0.0000000"/>
    <numFmt numFmtId="167" formatCode="0.0000"/>
    <numFmt numFmtId="168" formatCode="0.000E+00"/>
    <numFmt numFmtId="169" formatCode="0.00000"/>
  </numFmts>
  <fonts count="19">
    <font>
      <sz val="11"/>
      <color theme="1"/>
      <name val="Aptos Narrow"/>
      <family val="2"/>
      <scheme val="minor"/>
    </font>
    <font>
      <u/>
      <sz val="11"/>
      <color theme="10"/>
      <name val="Aptos Narrow"/>
      <family val="2"/>
      <scheme val="minor"/>
    </font>
    <font>
      <sz val="9"/>
      <color indexed="81"/>
      <name val="Tahoma"/>
      <charset val="1"/>
    </font>
    <font>
      <b/>
      <sz val="9"/>
      <color indexed="81"/>
      <name val="Tahoma"/>
      <charset val="1"/>
    </font>
    <font>
      <b/>
      <sz val="11"/>
      <color theme="1"/>
      <name val="Aptos Narrow"/>
      <family val="2"/>
      <scheme val="minor"/>
    </font>
    <font>
      <sz val="11"/>
      <color theme="0"/>
      <name val="Aptos Narrow"/>
      <family val="2"/>
      <scheme val="minor"/>
    </font>
    <font>
      <sz val="9"/>
      <color indexed="81"/>
      <name val="Tahoma"/>
      <family val="2"/>
    </font>
    <font>
      <b/>
      <sz val="9"/>
      <color indexed="81"/>
      <name val="Tahoma"/>
      <family val="2"/>
    </font>
    <font>
      <u/>
      <sz val="9"/>
      <color indexed="81"/>
      <name val="Tahoma"/>
      <family val="2"/>
    </font>
    <font>
      <sz val="11"/>
      <color theme="1"/>
      <name val="Aptos Narrow"/>
      <family val="2"/>
      <scheme val="minor"/>
    </font>
    <font>
      <sz val="10"/>
      <color theme="1"/>
      <name val="Time"/>
    </font>
    <font>
      <b/>
      <sz val="10"/>
      <color theme="1"/>
      <name val="Time"/>
    </font>
    <font>
      <sz val="10"/>
      <color theme="0"/>
      <name val="Time"/>
    </font>
    <font>
      <sz val="10"/>
      <color theme="1"/>
      <name val="Aptos Narrow"/>
      <family val="2"/>
    </font>
    <font>
      <i/>
      <sz val="10"/>
      <color theme="1"/>
      <name val="Time"/>
    </font>
    <font>
      <sz val="8"/>
      <name val="Aptos Narrow"/>
      <family val="2"/>
      <scheme val="minor"/>
    </font>
    <font>
      <b/>
      <sz val="11"/>
      <color rgb="FF000000"/>
      <name val="Aptos Narrow"/>
      <family val="2"/>
      <scheme val="minor"/>
    </font>
    <font>
      <b/>
      <sz val="11"/>
      <color theme="1"/>
      <name val="Aptos Narrow"/>
      <scheme val="minor"/>
    </font>
    <font>
      <sz val="11"/>
      <color theme="1"/>
      <name val="Aptos Narrow"/>
      <scheme val="minor"/>
    </font>
  </fonts>
  <fills count="21">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3" tint="0.749992370372631"/>
        <bgColor indexed="64"/>
      </patternFill>
    </fill>
    <fill>
      <patternFill patternType="solid">
        <fgColor theme="1"/>
        <bgColor indexed="64"/>
      </patternFill>
    </fill>
    <fill>
      <patternFill patternType="solid">
        <fgColor rgb="FFFFFF66"/>
        <bgColor indexed="64"/>
      </patternFill>
    </fill>
    <fill>
      <patternFill patternType="solid">
        <fgColor theme="3" tint="0.89999084444715716"/>
        <bgColor indexed="64"/>
      </patternFill>
    </fill>
    <fill>
      <patternFill patternType="solid">
        <fgColor theme="3" tint="0.499984740745262"/>
        <bgColor indexed="64"/>
      </patternFill>
    </fill>
    <fill>
      <patternFill patternType="solid">
        <fgColor rgb="FFFFC000"/>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1" tint="0.499984740745262"/>
        <bgColor indexed="64"/>
      </patternFill>
    </fill>
    <fill>
      <patternFill patternType="solid">
        <fgColor theme="5" tint="0.79998168889431442"/>
        <bgColor indexed="64"/>
      </patternFill>
    </fill>
    <fill>
      <patternFill patternType="solid">
        <fgColor rgb="FFED8C8C"/>
        <bgColor indexed="64"/>
      </patternFill>
    </fill>
    <fill>
      <patternFill patternType="solid">
        <fgColor rgb="FFF5E4B0"/>
        <bgColor indexed="64"/>
      </patternFill>
    </fill>
    <fill>
      <patternFill patternType="solid">
        <fgColor rgb="FF86BBCF"/>
        <bgColor indexed="64"/>
      </patternFill>
    </fill>
    <fill>
      <patternFill patternType="solid">
        <fgColor theme="2"/>
        <bgColor indexed="64"/>
      </patternFill>
    </fill>
  </fills>
  <borders count="58">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indexed="64"/>
      </left>
      <right style="thin">
        <color indexed="64"/>
      </right>
      <top/>
      <bottom/>
      <diagonal/>
    </border>
  </borders>
  <cellStyleXfs count="3">
    <xf numFmtId="0" fontId="0" fillId="0" borderId="0"/>
    <xf numFmtId="0" fontId="1" fillId="0" borderId="0" applyNumberFormat="0" applyFill="0" applyBorder="0" applyAlignment="0" applyProtection="0"/>
    <xf numFmtId="9" fontId="9" fillId="0" borderId="0" applyFont="0" applyFill="0" applyBorder="0" applyAlignment="0" applyProtection="0"/>
  </cellStyleXfs>
  <cellXfs count="396">
    <xf numFmtId="0" fontId="0" fillId="0" borderId="0" xfId="0"/>
    <xf numFmtId="0" fontId="0" fillId="0" borderId="0" xfId="0" applyAlignment="1">
      <alignment horizontal="center" vertical="center" wrapText="1"/>
    </xf>
    <xf numFmtId="0" fontId="0" fillId="0" borderId="8"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0" borderId="18" xfId="0" applyBorder="1" applyAlignment="1">
      <alignment horizontal="center" vertical="center" wrapText="1"/>
    </xf>
    <xf numFmtId="0" fontId="0" fillId="0" borderId="1" xfId="0" applyBorder="1" applyAlignment="1">
      <alignment horizontal="center" vertical="center" wrapText="1"/>
    </xf>
    <xf numFmtId="0" fontId="0" fillId="0" borderId="8" xfId="0" applyBorder="1" applyAlignment="1">
      <alignment vertical="center" wrapText="1"/>
    </xf>
    <xf numFmtId="0" fontId="1" fillId="0" borderId="8" xfId="1" applyBorder="1" applyAlignment="1">
      <alignment wrapText="1"/>
    </xf>
    <xf numFmtId="2" fontId="0" fillId="0" borderId="0" xfId="0" applyNumberFormat="1" applyAlignment="1">
      <alignment horizontal="center" vertical="center" wrapText="1"/>
    </xf>
    <xf numFmtId="164" fontId="0" fillId="0" borderId="0" xfId="0" applyNumberFormat="1" applyAlignment="1">
      <alignment horizontal="center" vertical="center" wrapText="1"/>
    </xf>
    <xf numFmtId="0" fontId="0" fillId="0" borderId="0" xfId="0" applyAlignment="1">
      <alignment horizontal="center" vertical="center"/>
    </xf>
    <xf numFmtId="0" fontId="0" fillId="2" borderId="0" xfId="0" applyFill="1"/>
    <xf numFmtId="0" fontId="0" fillId="2" borderId="15" xfId="0" applyFill="1" applyBorder="1" applyAlignment="1">
      <alignment horizontal="center" vertical="center"/>
    </xf>
    <xf numFmtId="0" fontId="0" fillId="2" borderId="25" xfId="0" applyFill="1" applyBorder="1" applyAlignment="1">
      <alignment horizontal="center" vertical="center"/>
    </xf>
    <xf numFmtId="0" fontId="0" fillId="2" borderId="16" xfId="0" applyFill="1" applyBorder="1" applyAlignment="1">
      <alignment horizontal="center" vertical="center"/>
    </xf>
    <xf numFmtId="0" fontId="0" fillId="2" borderId="2" xfId="0" applyFill="1" applyBorder="1"/>
    <xf numFmtId="0" fontId="0" fillId="2" borderId="4" xfId="0" applyFill="1" applyBorder="1" applyAlignment="1">
      <alignment horizontal="center" vertical="center"/>
    </xf>
    <xf numFmtId="0" fontId="0" fillId="2" borderId="0" xfId="0" applyFill="1" applyAlignment="1">
      <alignment horizontal="center" vertical="center"/>
    </xf>
    <xf numFmtId="0" fontId="0" fillId="2" borderId="5" xfId="0" applyFill="1" applyBorder="1" applyAlignment="1">
      <alignment horizontal="center" vertical="center"/>
    </xf>
    <xf numFmtId="0" fontId="0" fillId="2" borderId="4" xfId="0" applyFill="1" applyBorder="1"/>
    <xf numFmtId="0" fontId="0" fillId="2" borderId="6" xfId="0" applyFill="1" applyBorder="1" applyAlignment="1">
      <alignment horizontal="center" vertical="center"/>
    </xf>
    <xf numFmtId="0" fontId="0" fillId="2" borderId="21" xfId="0" applyFill="1" applyBorder="1" applyAlignment="1">
      <alignment horizontal="center" vertical="center"/>
    </xf>
    <xf numFmtId="0" fontId="0" fillId="2" borderId="7" xfId="0" applyFill="1" applyBorder="1" applyAlignment="1">
      <alignment horizontal="center" vertical="center"/>
    </xf>
    <xf numFmtId="0" fontId="0" fillId="2" borderId="2" xfId="0" applyFill="1" applyBorder="1" applyAlignment="1">
      <alignment horizontal="center" vertical="center"/>
    </xf>
    <xf numFmtId="0" fontId="0" fillId="2" borderId="20" xfId="0" applyFill="1" applyBorder="1" applyAlignment="1">
      <alignment horizontal="center" vertical="center"/>
    </xf>
    <xf numFmtId="0" fontId="0" fillId="2" borderId="3" xfId="0" applyFill="1" applyBorder="1" applyAlignment="1">
      <alignment horizontal="center" vertical="center"/>
    </xf>
    <xf numFmtId="0" fontId="0" fillId="2" borderId="15" xfId="0" applyFill="1" applyBorder="1" applyAlignment="1">
      <alignment horizontal="center" vertical="center" wrapText="1"/>
    </xf>
    <xf numFmtId="0" fontId="0" fillId="2" borderId="8" xfId="0" applyFill="1" applyBorder="1"/>
    <xf numFmtId="0" fontId="0" fillId="2" borderId="9" xfId="0" applyFill="1" applyBorder="1"/>
    <xf numFmtId="0" fontId="0" fillId="2" borderId="22" xfId="0" applyFill="1" applyBorder="1"/>
    <xf numFmtId="0" fontId="0" fillId="2" borderId="10" xfId="0" applyFill="1" applyBorder="1"/>
    <xf numFmtId="0" fontId="0" fillId="2" borderId="11" xfId="0" applyFill="1" applyBorder="1"/>
    <xf numFmtId="0" fontId="0" fillId="2" borderId="12" xfId="0" applyFill="1" applyBorder="1"/>
    <xf numFmtId="0" fontId="0" fillId="2" borderId="13" xfId="0" applyFill="1" applyBorder="1"/>
    <xf numFmtId="0" fontId="0" fillId="2" borderId="23" xfId="0" applyFill="1" applyBorder="1"/>
    <xf numFmtId="0" fontId="0" fillId="2" borderId="14" xfId="0" applyFill="1" applyBorder="1"/>
    <xf numFmtId="0" fontId="0" fillId="4" borderId="1" xfId="0" applyFill="1" applyBorder="1"/>
    <xf numFmtId="166" fontId="0" fillId="2" borderId="9" xfId="0" applyNumberFormat="1" applyFill="1" applyBorder="1"/>
    <xf numFmtId="166" fontId="0" fillId="2" borderId="22" xfId="0" applyNumberFormat="1" applyFill="1" applyBorder="1"/>
    <xf numFmtId="166" fontId="0" fillId="2" borderId="10" xfId="0" applyNumberFormat="1" applyFill="1" applyBorder="1"/>
    <xf numFmtId="166" fontId="0" fillId="2" borderId="11" xfId="0" applyNumberFormat="1" applyFill="1" applyBorder="1"/>
    <xf numFmtId="166" fontId="0" fillId="2" borderId="8" xfId="0" applyNumberFormat="1" applyFill="1" applyBorder="1"/>
    <xf numFmtId="166" fontId="0" fillId="2" borderId="12" xfId="0" applyNumberFormat="1" applyFill="1" applyBorder="1"/>
    <xf numFmtId="166" fontId="0" fillId="2" borderId="13" xfId="0" applyNumberFormat="1" applyFill="1" applyBorder="1"/>
    <xf numFmtId="166" fontId="0" fillId="2" borderId="23" xfId="0" applyNumberFormat="1" applyFill="1" applyBorder="1"/>
    <xf numFmtId="166" fontId="0" fillId="2" borderId="14" xfId="0" applyNumberFormat="1" applyFill="1" applyBorder="1"/>
    <xf numFmtId="0" fontId="0" fillId="2" borderId="1" xfId="0" applyFill="1" applyBorder="1" applyAlignment="1">
      <alignment wrapText="1"/>
    </xf>
    <xf numFmtId="0" fontId="0" fillId="2" borderId="15" xfId="0" applyFill="1" applyBorder="1" applyAlignment="1">
      <alignment wrapText="1"/>
    </xf>
    <xf numFmtId="0" fontId="0" fillId="0" borderId="15" xfId="0" applyBorder="1" applyAlignment="1">
      <alignment horizontal="center" vertical="center" wrapText="1"/>
    </xf>
    <xf numFmtId="0" fontId="0" fillId="0" borderId="25"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24" xfId="0" applyBorder="1" applyAlignment="1">
      <alignment horizontal="center" vertical="center" wrapText="1"/>
    </xf>
    <xf numFmtId="0" fontId="0" fillId="0" borderId="20"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21" xfId="0" applyBorder="1" applyAlignment="1">
      <alignment horizontal="center" vertical="center" wrapText="1"/>
    </xf>
    <xf numFmtId="0" fontId="0" fillId="0" borderId="7" xfId="0" applyBorder="1" applyAlignment="1">
      <alignment horizontal="center" vertical="center" wrapText="1"/>
    </xf>
    <xf numFmtId="0" fontId="0" fillId="6" borderId="0" xfId="0" applyFill="1" applyAlignment="1">
      <alignment horizontal="center" vertical="center"/>
    </xf>
    <xf numFmtId="165" fontId="0" fillId="2" borderId="0" xfId="0" applyNumberFormat="1" applyFill="1" applyAlignment="1">
      <alignment horizontal="center" vertical="center"/>
    </xf>
    <xf numFmtId="165" fontId="0" fillId="2" borderId="21" xfId="0" applyNumberFormat="1" applyFill="1" applyBorder="1" applyAlignment="1">
      <alignment horizontal="center" vertical="center"/>
    </xf>
    <xf numFmtId="165" fontId="0" fillId="2" borderId="29" xfId="0" applyNumberFormat="1" applyFill="1" applyBorder="1" applyAlignment="1">
      <alignment horizontal="center" vertical="center"/>
    </xf>
    <xf numFmtId="165" fontId="0" fillId="2" borderId="30" xfId="0" applyNumberFormat="1" applyFill="1" applyBorder="1" applyAlignment="1">
      <alignment horizontal="center" vertical="center"/>
    </xf>
    <xf numFmtId="165" fontId="0" fillId="2" borderId="31" xfId="0" applyNumberFormat="1" applyFill="1" applyBorder="1" applyAlignment="1">
      <alignment horizontal="center" vertical="center"/>
    </xf>
    <xf numFmtId="0" fontId="0" fillId="2" borderId="26" xfId="0" applyFill="1" applyBorder="1" applyAlignment="1">
      <alignment horizontal="center" vertical="center"/>
    </xf>
    <xf numFmtId="0" fontId="0" fillId="2" borderId="27" xfId="0" applyFill="1" applyBorder="1" applyAlignment="1">
      <alignment horizontal="center" vertical="center"/>
    </xf>
    <xf numFmtId="0" fontId="0" fillId="2" borderId="28" xfId="0" applyFill="1" applyBorder="1" applyAlignment="1">
      <alignment horizontal="center" vertical="center"/>
    </xf>
    <xf numFmtId="0" fontId="0" fillId="0" borderId="0" xfId="0" applyAlignment="1">
      <alignment vertical="center" wrapText="1"/>
    </xf>
    <xf numFmtId="0" fontId="0" fillId="0" borderId="33" xfId="0" applyBorder="1" applyAlignment="1">
      <alignment horizontal="center" vertical="center" wrapText="1"/>
    </xf>
    <xf numFmtId="0" fontId="0" fillId="0" borderId="34"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37" xfId="0" applyBorder="1" applyAlignment="1">
      <alignment horizontal="center" vertical="center" wrapText="1"/>
    </xf>
    <xf numFmtId="0" fontId="1" fillId="0" borderId="0" xfId="1" applyBorder="1" applyAlignment="1">
      <alignment wrapText="1"/>
    </xf>
    <xf numFmtId="0" fontId="0" fillId="0" borderId="2" xfId="0" applyBorder="1" applyAlignment="1">
      <alignment vertical="center" wrapText="1"/>
    </xf>
    <xf numFmtId="0" fontId="0" fillId="0" borderId="20" xfId="0" applyBorder="1" applyAlignment="1">
      <alignment vertical="center" wrapText="1"/>
    </xf>
    <xf numFmtId="0" fontId="0" fillId="0" borderId="3"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7" borderId="17" xfId="0" applyFill="1" applyBorder="1" applyAlignment="1">
      <alignment horizontal="center" vertical="center" wrapText="1"/>
    </xf>
    <xf numFmtId="0" fontId="0" fillId="7" borderId="18" xfId="0" applyFill="1" applyBorder="1" applyAlignment="1">
      <alignment horizontal="center" vertical="center" wrapText="1"/>
    </xf>
    <xf numFmtId="0" fontId="0" fillId="7" borderId="19" xfId="0" applyFill="1" applyBorder="1" applyAlignment="1">
      <alignment horizontal="center" vertical="center" wrapText="1"/>
    </xf>
    <xf numFmtId="164" fontId="0" fillId="0" borderId="4" xfId="0" applyNumberFormat="1" applyBorder="1" applyAlignment="1">
      <alignment horizontal="center" vertical="center" wrapText="1"/>
    </xf>
    <xf numFmtId="0" fontId="0" fillId="7" borderId="4" xfId="0" applyFill="1" applyBorder="1" applyAlignment="1">
      <alignment horizontal="center" vertical="center" wrapText="1"/>
    </xf>
    <xf numFmtId="0" fontId="0" fillId="7" borderId="6" xfId="0" applyFill="1" applyBorder="1" applyAlignment="1">
      <alignment horizontal="center" vertical="center" wrapText="1"/>
    </xf>
    <xf numFmtId="0" fontId="0" fillId="7" borderId="2" xfId="0" applyFill="1" applyBorder="1" applyAlignment="1">
      <alignment horizontal="center" vertical="center" wrapText="1"/>
    </xf>
    <xf numFmtId="164" fontId="0" fillId="0" borderId="19" xfId="0" applyNumberFormat="1" applyBorder="1" applyAlignment="1">
      <alignment horizontal="center" vertical="center" wrapText="1"/>
    </xf>
    <xf numFmtId="0" fontId="4" fillId="7" borderId="17" xfId="0" applyFont="1" applyFill="1" applyBorder="1" applyAlignment="1">
      <alignment horizontal="center" vertical="center" wrapText="1"/>
    </xf>
    <xf numFmtId="0" fontId="5" fillId="9" borderId="1" xfId="0" applyFont="1" applyFill="1" applyBorder="1" applyAlignment="1">
      <alignment horizontal="center" vertical="center" wrapText="1"/>
    </xf>
    <xf numFmtId="165" fontId="0" fillId="0" borderId="4" xfId="0" applyNumberFormat="1" applyBorder="1" applyAlignment="1">
      <alignment horizontal="center" vertical="center" wrapText="1"/>
    </xf>
    <xf numFmtId="165" fontId="0" fillId="0" borderId="0" xfId="0" applyNumberFormat="1" applyAlignment="1">
      <alignment horizontal="center" vertical="center" wrapText="1"/>
    </xf>
    <xf numFmtId="165" fontId="0" fillId="0" borderId="5" xfId="0" applyNumberFormat="1" applyBorder="1" applyAlignment="1">
      <alignment horizontal="center" vertical="center" wrapText="1"/>
    </xf>
    <xf numFmtId="165" fontId="0" fillId="0" borderId="6" xfId="0" applyNumberFormat="1" applyBorder="1" applyAlignment="1">
      <alignment horizontal="center" vertical="center" wrapText="1"/>
    </xf>
    <xf numFmtId="165" fontId="0" fillId="0" borderId="21" xfId="0" applyNumberFormat="1" applyBorder="1" applyAlignment="1">
      <alignment horizontal="center" vertical="center" wrapText="1"/>
    </xf>
    <xf numFmtId="165" fontId="0" fillId="0" borderId="7" xfId="0" applyNumberFormat="1" applyBorder="1" applyAlignment="1">
      <alignment horizontal="center" vertical="center" wrapText="1"/>
    </xf>
    <xf numFmtId="165" fontId="0" fillId="7" borderId="4" xfId="0" applyNumberFormat="1" applyFill="1" applyBorder="1" applyAlignment="1">
      <alignment horizontal="center" vertical="center" wrapText="1"/>
    </xf>
    <xf numFmtId="165" fontId="0" fillId="7" borderId="5" xfId="0" applyNumberFormat="1" applyFill="1" applyBorder="1" applyAlignment="1">
      <alignment horizontal="center" vertical="center" wrapText="1"/>
    </xf>
    <xf numFmtId="0" fontId="0" fillId="0" borderId="44" xfId="0" applyBorder="1" applyAlignment="1">
      <alignment horizontal="center" vertical="center" wrapText="1"/>
    </xf>
    <xf numFmtId="0" fontId="0" fillId="0" borderId="45" xfId="0" applyBorder="1" applyAlignment="1">
      <alignment horizontal="center" vertical="center" wrapText="1"/>
    </xf>
    <xf numFmtId="0" fontId="0" fillId="0" borderId="46" xfId="0" applyBorder="1" applyAlignment="1">
      <alignment horizontal="center" vertical="center" wrapText="1"/>
    </xf>
    <xf numFmtId="0" fontId="0" fillId="7" borderId="26" xfId="0" applyFill="1" applyBorder="1" applyAlignment="1">
      <alignment horizontal="center" vertical="center" wrapText="1"/>
    </xf>
    <xf numFmtId="0" fontId="0" fillId="7" borderId="27" xfId="0" applyFill="1" applyBorder="1" applyAlignment="1">
      <alignment horizontal="center" vertical="center" wrapText="1"/>
    </xf>
    <xf numFmtId="0" fontId="0" fillId="2" borderId="0" xfId="0" applyFill="1" applyAlignment="1">
      <alignment horizontal="center" vertical="center" wrapText="1"/>
    </xf>
    <xf numFmtId="0" fontId="0" fillId="6" borderId="0" xfId="0" applyFill="1" applyAlignment="1">
      <alignment horizontal="center" vertical="center" wrapText="1"/>
    </xf>
    <xf numFmtId="0" fontId="0" fillId="0" borderId="0" xfId="0" applyAlignment="1">
      <alignment horizontal="left" vertical="center"/>
    </xf>
    <xf numFmtId="0" fontId="0" fillId="2" borderId="17" xfId="0" applyFill="1" applyBorder="1" applyAlignment="1">
      <alignment horizontal="center" vertical="center" wrapText="1"/>
    </xf>
    <xf numFmtId="0" fontId="0" fillId="2" borderId="19" xfId="0" applyFill="1" applyBorder="1" applyAlignment="1">
      <alignment horizontal="center" vertical="center" wrapText="1"/>
    </xf>
    <xf numFmtId="0" fontId="0" fillId="2" borderId="26" xfId="0" applyFill="1" applyBorder="1" applyAlignment="1">
      <alignment horizontal="center" vertical="center" wrapText="1"/>
    </xf>
    <xf numFmtId="0" fontId="0" fillId="2" borderId="27" xfId="0" applyFill="1" applyBorder="1" applyAlignment="1">
      <alignment horizontal="center" vertical="center" wrapText="1"/>
    </xf>
    <xf numFmtId="0" fontId="0" fillId="2" borderId="28" xfId="0" applyFill="1" applyBorder="1" applyAlignment="1">
      <alignment horizontal="center" vertical="center" wrapText="1"/>
    </xf>
    <xf numFmtId="0" fontId="0" fillId="7" borderId="38" xfId="0" applyFill="1" applyBorder="1" applyAlignment="1">
      <alignment horizontal="center" vertical="center" wrapText="1"/>
    </xf>
    <xf numFmtId="165" fontId="0" fillId="2" borderId="37" xfId="0" applyNumberFormat="1" applyFill="1" applyBorder="1" applyAlignment="1">
      <alignment horizontal="center" vertical="center"/>
    </xf>
    <xf numFmtId="0" fontId="0" fillId="2" borderId="38" xfId="0" applyFill="1" applyBorder="1" applyAlignment="1">
      <alignment horizontal="center" vertical="center" wrapText="1"/>
    </xf>
    <xf numFmtId="0" fontId="0" fillId="2" borderId="38" xfId="0" applyFill="1" applyBorder="1" applyAlignment="1">
      <alignment horizontal="center" vertical="center"/>
    </xf>
    <xf numFmtId="11" fontId="0" fillId="2" borderId="37" xfId="0" applyNumberFormat="1" applyFill="1" applyBorder="1" applyAlignment="1">
      <alignment horizontal="center" vertical="center"/>
    </xf>
    <xf numFmtId="11" fontId="0" fillId="0" borderId="0" xfId="0" applyNumberFormat="1" applyAlignment="1">
      <alignment horizontal="center" vertical="center" wrapText="1"/>
    </xf>
    <xf numFmtId="0" fontId="0" fillId="6" borderId="0" xfId="0" applyFill="1"/>
    <xf numFmtId="0" fontId="10" fillId="0" borderId="20" xfId="0" applyFont="1" applyBorder="1" applyAlignment="1">
      <alignment horizontal="left"/>
    </xf>
    <xf numFmtId="167" fontId="0" fillId="0" borderId="0" xfId="0" applyNumberFormat="1" applyAlignment="1">
      <alignment horizontal="center" vertical="center"/>
    </xf>
    <xf numFmtId="0" fontId="4" fillId="7" borderId="28" xfId="0" applyFont="1" applyFill="1" applyBorder="1" applyAlignment="1">
      <alignment horizontal="center" vertical="center" wrapText="1"/>
    </xf>
    <xf numFmtId="168" fontId="0" fillId="0" borderId="0" xfId="0" applyNumberFormat="1" applyAlignment="1">
      <alignment horizontal="center" vertical="center"/>
    </xf>
    <xf numFmtId="167" fontId="0" fillId="0" borderId="0" xfId="0" applyNumberFormat="1"/>
    <xf numFmtId="0" fontId="0" fillId="0" borderId="0" xfId="0" pivotButton="1"/>
    <xf numFmtId="167" fontId="0" fillId="0" borderId="0" xfId="0" applyNumberFormat="1" applyAlignment="1">
      <alignment horizontal="left"/>
    </xf>
    <xf numFmtId="166" fontId="0" fillId="0" borderId="0" xfId="0" applyNumberFormat="1" applyAlignment="1">
      <alignment horizontal="center" vertical="center"/>
    </xf>
    <xf numFmtId="0" fontId="10" fillId="2" borderId="20" xfId="0" applyFont="1" applyFill="1" applyBorder="1" applyAlignment="1">
      <alignment horizontal="left"/>
    </xf>
    <xf numFmtId="0" fontId="10" fillId="2" borderId="16" xfId="0" applyFont="1" applyFill="1" applyBorder="1" applyAlignment="1">
      <alignment horizontal="center"/>
    </xf>
    <xf numFmtId="0" fontId="10" fillId="2" borderId="25" xfId="0" applyFont="1" applyFill="1" applyBorder="1" applyAlignment="1">
      <alignment horizontal="center" vertical="center"/>
    </xf>
    <xf numFmtId="2" fontId="10" fillId="2" borderId="4" xfId="0" applyNumberFormat="1" applyFont="1" applyFill="1" applyBorder="1" applyAlignment="1">
      <alignment horizontal="center" vertical="center"/>
    </xf>
    <xf numFmtId="2" fontId="10" fillId="2" borderId="0" xfId="0" applyNumberFormat="1" applyFont="1" applyFill="1" applyAlignment="1">
      <alignment horizontal="center" vertical="center"/>
    </xf>
    <xf numFmtId="0" fontId="10" fillId="2" borderId="5" xfId="0" applyFont="1" applyFill="1" applyBorder="1" applyAlignment="1">
      <alignment horizontal="center" vertical="center"/>
    </xf>
    <xf numFmtId="2" fontId="10" fillId="2" borderId="6" xfId="0" applyNumberFormat="1" applyFont="1" applyFill="1" applyBorder="1" applyAlignment="1">
      <alignment horizontal="center" vertical="center"/>
    </xf>
    <xf numFmtId="2" fontId="10" fillId="2" borderId="21" xfId="0" applyNumberFormat="1" applyFont="1" applyFill="1" applyBorder="1" applyAlignment="1">
      <alignment horizontal="center" vertical="center"/>
    </xf>
    <xf numFmtId="0" fontId="10" fillId="2" borderId="7" xfId="0" applyFont="1" applyFill="1" applyBorder="1" applyAlignment="1">
      <alignment horizontal="center" vertical="center"/>
    </xf>
    <xf numFmtId="2" fontId="10" fillId="3" borderId="15" xfId="0" applyNumberFormat="1" applyFont="1" applyFill="1" applyBorder="1" applyAlignment="1">
      <alignment horizontal="center" vertical="center"/>
    </xf>
    <xf numFmtId="2" fontId="10" fillId="3" borderId="25" xfId="0" applyNumberFormat="1" applyFont="1" applyFill="1" applyBorder="1" applyAlignment="1">
      <alignment horizontal="center" vertical="center"/>
    </xf>
    <xf numFmtId="0" fontId="10" fillId="3" borderId="16" xfId="0" applyFont="1" applyFill="1" applyBorder="1" applyAlignment="1">
      <alignment horizontal="center" vertical="center"/>
    </xf>
    <xf numFmtId="2" fontId="10" fillId="2" borderId="0" xfId="0" applyNumberFormat="1" applyFont="1" applyFill="1" applyAlignment="1">
      <alignment horizontal="left" vertical="center"/>
    </xf>
    <xf numFmtId="0" fontId="10" fillId="2" borderId="0" xfId="0" applyFont="1" applyFill="1" applyAlignment="1">
      <alignment horizontal="left"/>
    </xf>
    <xf numFmtId="0" fontId="10" fillId="0" borderId="0" xfId="0" applyFont="1" applyAlignment="1">
      <alignment horizontal="left"/>
    </xf>
    <xf numFmtId="0" fontId="11" fillId="2" borderId="21" xfId="0" applyFont="1" applyFill="1" applyBorder="1" applyAlignment="1">
      <alignment horizontal="left"/>
    </xf>
    <xf numFmtId="0" fontId="11" fillId="2" borderId="0" xfId="0" applyFont="1" applyFill="1" applyAlignment="1">
      <alignment horizontal="left"/>
    </xf>
    <xf numFmtId="0" fontId="10" fillId="2" borderId="21" xfId="0" applyFont="1" applyFill="1" applyBorder="1" applyAlignment="1">
      <alignment horizontal="left"/>
    </xf>
    <xf numFmtId="0" fontId="12" fillId="6" borderId="0" xfId="0" applyFont="1" applyFill="1" applyAlignment="1">
      <alignment horizontal="left"/>
    </xf>
    <xf numFmtId="0" fontId="10" fillId="2" borderId="15" xfId="0" applyFont="1" applyFill="1" applyBorder="1" applyAlignment="1">
      <alignment horizontal="left"/>
    </xf>
    <xf numFmtId="0" fontId="10" fillId="2" borderId="25" xfId="0" applyFont="1" applyFill="1" applyBorder="1" applyAlignment="1">
      <alignment horizontal="left"/>
    </xf>
    <xf numFmtId="0" fontId="12" fillId="6" borderId="1" xfId="0" applyFont="1" applyFill="1" applyBorder="1" applyAlignment="1">
      <alignment horizontal="left"/>
    </xf>
    <xf numFmtId="0" fontId="10" fillId="2" borderId="25" xfId="0" applyFont="1" applyFill="1" applyBorder="1" applyAlignment="1">
      <alignment horizontal="left" vertical="center"/>
    </xf>
    <xf numFmtId="0" fontId="10" fillId="2" borderId="16" xfId="0" applyFont="1" applyFill="1" applyBorder="1" applyAlignment="1">
      <alignment horizontal="left"/>
    </xf>
    <xf numFmtId="0" fontId="10" fillId="2" borderId="7" xfId="0" applyFont="1" applyFill="1" applyBorder="1" applyAlignment="1">
      <alignment horizontal="left"/>
    </xf>
    <xf numFmtId="15" fontId="10" fillId="2" borderId="15" xfId="0" applyNumberFormat="1" applyFont="1" applyFill="1" applyBorder="1" applyAlignment="1">
      <alignment horizontal="left"/>
    </xf>
    <xf numFmtId="0" fontId="10" fillId="2" borderId="2" xfId="0" applyFont="1" applyFill="1" applyBorder="1" applyAlignment="1">
      <alignment horizontal="left"/>
    </xf>
    <xf numFmtId="0" fontId="10" fillId="2" borderId="3" xfId="0" applyFont="1" applyFill="1" applyBorder="1" applyAlignment="1">
      <alignment horizontal="left"/>
    </xf>
    <xf numFmtId="0" fontId="10" fillId="2" borderId="4" xfId="0" applyFont="1" applyFill="1" applyBorder="1" applyAlignment="1">
      <alignment horizontal="left"/>
    </xf>
    <xf numFmtId="0" fontId="10" fillId="2" borderId="5" xfId="0" applyFont="1" applyFill="1" applyBorder="1" applyAlignment="1">
      <alignment horizontal="left"/>
    </xf>
    <xf numFmtId="0" fontId="10" fillId="2" borderId="6" xfId="0" applyFont="1" applyFill="1" applyBorder="1" applyAlignment="1">
      <alignment horizontal="left"/>
    </xf>
    <xf numFmtId="0" fontId="0" fillId="2" borderId="0" xfId="0" applyFill="1" applyAlignment="1">
      <alignment horizontal="left"/>
    </xf>
    <xf numFmtId="0" fontId="11" fillId="2" borderId="1" xfId="0" applyFont="1" applyFill="1" applyBorder="1" applyAlignment="1">
      <alignment horizontal="left"/>
    </xf>
    <xf numFmtId="0" fontId="10" fillId="2" borderId="1" xfId="0" applyFont="1" applyFill="1" applyBorder="1" applyAlignment="1">
      <alignment horizontal="left"/>
    </xf>
    <xf numFmtId="0" fontId="10" fillId="2" borderId="0" xfId="0" applyFont="1" applyFill="1" applyAlignment="1">
      <alignment horizontal="left" vertical="center"/>
    </xf>
    <xf numFmtId="2" fontId="10" fillId="2" borderId="0" xfId="0" applyNumberFormat="1" applyFont="1" applyFill="1" applyAlignment="1">
      <alignment horizontal="left"/>
    </xf>
    <xf numFmtId="0" fontId="11" fillId="0" borderId="0" xfId="0" applyFont="1" applyAlignment="1">
      <alignment horizontal="left"/>
    </xf>
    <xf numFmtId="0" fontId="10" fillId="8" borderId="15" xfId="0" applyFont="1" applyFill="1" applyBorder="1" applyAlignment="1">
      <alignment horizontal="left" vertical="center"/>
    </xf>
    <xf numFmtId="0" fontId="13" fillId="8" borderId="16" xfId="0" applyFont="1" applyFill="1" applyBorder="1" applyAlignment="1">
      <alignment horizontal="left" vertical="center"/>
    </xf>
    <xf numFmtId="0" fontId="10" fillId="8" borderId="1" xfId="0" applyFont="1" applyFill="1" applyBorder="1" applyAlignment="1">
      <alignment horizontal="left"/>
    </xf>
    <xf numFmtId="0" fontId="10" fillId="0" borderId="4" xfId="0" applyFont="1" applyBorder="1" applyAlignment="1">
      <alignment horizontal="left" vertical="center"/>
    </xf>
    <xf numFmtId="0" fontId="10" fillId="0" borderId="5" xfId="0" applyFont="1" applyBorder="1" applyAlignment="1">
      <alignment horizontal="left" vertical="center"/>
    </xf>
    <xf numFmtId="9" fontId="10" fillId="0" borderId="17" xfId="2" applyFont="1" applyBorder="1" applyAlignment="1">
      <alignment horizontal="left" vertical="center"/>
    </xf>
    <xf numFmtId="9" fontId="10" fillId="0" borderId="18" xfId="2" applyFont="1" applyBorder="1" applyAlignment="1">
      <alignment horizontal="left" vertical="center"/>
    </xf>
    <xf numFmtId="0" fontId="11" fillId="7" borderId="4" xfId="0" applyFont="1" applyFill="1" applyBorder="1" applyAlignment="1">
      <alignment horizontal="left" vertical="center"/>
    </xf>
    <xf numFmtId="0" fontId="11" fillId="7" borderId="5" xfId="0" applyFont="1" applyFill="1" applyBorder="1" applyAlignment="1">
      <alignment horizontal="left" vertical="center"/>
    </xf>
    <xf numFmtId="9" fontId="11" fillId="7" borderId="5" xfId="2" applyFont="1" applyFill="1" applyBorder="1" applyAlignment="1">
      <alignment horizontal="left" vertical="center"/>
    </xf>
    <xf numFmtId="0" fontId="10" fillId="0" borderId="6" xfId="0" applyFont="1" applyBorder="1" applyAlignment="1">
      <alignment horizontal="left" vertical="center"/>
    </xf>
    <xf numFmtId="0" fontId="10" fillId="0" borderId="7" xfId="0" applyFont="1" applyBorder="1" applyAlignment="1">
      <alignment horizontal="left" vertical="center"/>
    </xf>
    <xf numFmtId="9" fontId="10" fillId="0" borderId="19" xfId="2" applyFont="1" applyBorder="1" applyAlignment="1">
      <alignment horizontal="left" vertical="center"/>
    </xf>
    <xf numFmtId="0" fontId="10" fillId="0" borderId="4" xfId="0" applyFont="1" applyBorder="1" applyAlignment="1">
      <alignment horizontal="left"/>
    </xf>
    <xf numFmtId="0" fontId="10" fillId="0" borderId="5" xfId="0" applyFont="1" applyBorder="1" applyAlignment="1">
      <alignment horizontal="left"/>
    </xf>
    <xf numFmtId="0" fontId="10" fillId="0" borderId="17" xfId="0" applyFont="1" applyBorder="1" applyAlignment="1">
      <alignment horizontal="left"/>
    </xf>
    <xf numFmtId="0" fontId="10" fillId="0" borderId="18" xfId="0" applyFont="1" applyBorder="1" applyAlignment="1">
      <alignment horizontal="left"/>
    </xf>
    <xf numFmtId="0" fontId="10" fillId="0" borderId="19" xfId="0" applyFont="1" applyBorder="1" applyAlignment="1">
      <alignment horizontal="left"/>
    </xf>
    <xf numFmtId="0" fontId="10" fillId="10" borderId="15" xfId="0" applyFont="1" applyFill="1" applyBorder="1" applyAlignment="1">
      <alignment horizontal="left"/>
    </xf>
    <xf numFmtId="0" fontId="10" fillId="10" borderId="16" xfId="0" applyFont="1" applyFill="1" applyBorder="1" applyAlignment="1">
      <alignment horizontal="left"/>
    </xf>
    <xf numFmtId="9" fontId="10" fillId="10" borderId="25" xfId="2" applyFont="1" applyFill="1" applyBorder="1" applyAlignment="1">
      <alignment horizontal="left"/>
    </xf>
    <xf numFmtId="9" fontId="10" fillId="10" borderId="16" xfId="2" applyFont="1" applyFill="1" applyBorder="1" applyAlignment="1">
      <alignment horizontal="left"/>
    </xf>
    <xf numFmtId="0" fontId="10" fillId="0" borderId="8" xfId="0" applyFont="1" applyBorder="1" applyAlignment="1">
      <alignment horizontal="left"/>
    </xf>
    <xf numFmtId="0" fontId="1" fillId="0" borderId="0" xfId="1" applyAlignment="1">
      <alignment horizontal="left"/>
    </xf>
    <xf numFmtId="0" fontId="10" fillId="0" borderId="3" xfId="0" applyFont="1" applyBorder="1" applyAlignment="1">
      <alignment horizontal="left"/>
    </xf>
    <xf numFmtId="0" fontId="10" fillId="0" borderId="6" xfId="0" applyFont="1" applyBorder="1" applyAlignment="1">
      <alignment horizontal="left"/>
    </xf>
    <xf numFmtId="0" fontId="10" fillId="0" borderId="21" xfId="0" applyFont="1" applyBorder="1" applyAlignment="1">
      <alignment horizontal="left"/>
    </xf>
    <xf numFmtId="0" fontId="10" fillId="0" borderId="7" xfId="0" applyFont="1" applyBorder="1" applyAlignment="1">
      <alignment horizontal="left"/>
    </xf>
    <xf numFmtId="0" fontId="10" fillId="2" borderId="15" xfId="0" applyFont="1" applyFill="1" applyBorder="1" applyAlignment="1">
      <alignment horizontal="center"/>
    </xf>
    <xf numFmtId="0" fontId="0" fillId="0" borderId="41" xfId="0" applyBorder="1" applyAlignment="1">
      <alignment horizontal="center" vertical="center" wrapText="1"/>
    </xf>
    <xf numFmtId="0" fontId="0" fillId="0" borderId="43" xfId="0" applyBorder="1" applyAlignment="1">
      <alignment horizontal="center" vertical="center" wrapText="1"/>
    </xf>
    <xf numFmtId="0" fontId="0" fillId="11" borderId="0" xfId="0" applyFill="1"/>
    <xf numFmtId="0" fontId="0" fillId="2" borderId="15" xfId="0" applyFill="1" applyBorder="1"/>
    <xf numFmtId="0" fontId="0" fillId="2" borderId="25" xfId="0" applyFill="1" applyBorder="1"/>
    <xf numFmtId="0" fontId="0" fillId="2" borderId="16" xfId="0" applyFill="1" applyBorder="1"/>
    <xf numFmtId="0" fontId="0" fillId="4" borderId="15" xfId="0" applyFill="1" applyBorder="1"/>
    <xf numFmtId="0" fontId="0" fillId="4" borderId="20" xfId="0" applyFill="1" applyBorder="1"/>
    <xf numFmtId="0" fontId="0" fillId="4" borderId="3" xfId="0" applyFill="1" applyBorder="1"/>
    <xf numFmtId="0" fontId="0" fillId="2" borderId="1" xfId="0" applyFill="1" applyBorder="1" applyAlignment="1">
      <alignment horizontal="center"/>
    </xf>
    <xf numFmtId="0" fontId="0" fillId="2" borderId="17" xfId="0" applyFill="1" applyBorder="1"/>
    <xf numFmtId="0" fontId="0" fillId="2" borderId="18" xfId="0" applyFill="1" applyBorder="1"/>
    <xf numFmtId="0" fontId="0" fillId="2" borderId="19" xfId="0" applyFill="1" applyBorder="1"/>
    <xf numFmtId="0" fontId="0" fillId="2" borderId="20" xfId="0" applyFill="1" applyBorder="1"/>
    <xf numFmtId="0" fontId="0" fillId="2" borderId="3" xfId="0" applyFill="1" applyBorder="1"/>
    <xf numFmtId="0" fontId="0" fillId="2" borderId="5" xfId="0" applyFill="1" applyBorder="1"/>
    <xf numFmtId="0" fontId="0" fillId="2" borderId="6" xfId="0" applyFill="1" applyBorder="1"/>
    <xf numFmtId="0" fontId="0" fillId="2" borderId="21" xfId="0" applyFill="1" applyBorder="1"/>
    <xf numFmtId="0" fontId="0" fillId="2" borderId="7" xfId="0" applyFill="1" applyBorder="1"/>
    <xf numFmtId="0" fontId="0" fillId="4" borderId="25" xfId="0" applyFill="1" applyBorder="1"/>
    <xf numFmtId="0" fontId="0" fillId="4" borderId="16" xfId="0" applyFill="1" applyBorder="1"/>
    <xf numFmtId="11" fontId="0" fillId="0" borderId="0" xfId="0" applyNumberFormat="1"/>
    <xf numFmtId="0" fontId="0" fillId="0" borderId="37" xfId="0" applyBorder="1"/>
    <xf numFmtId="0" fontId="4" fillId="0" borderId="37" xfId="0" applyFont="1" applyBorder="1" applyAlignment="1">
      <alignment wrapText="1"/>
    </xf>
    <xf numFmtId="11" fontId="0" fillId="0" borderId="4" xfId="0" applyNumberFormat="1" applyBorder="1" applyAlignment="1">
      <alignment horizontal="center" vertical="center" wrapText="1"/>
    </xf>
    <xf numFmtId="11" fontId="0" fillId="0" borderId="43" xfId="0" applyNumberFormat="1" applyBorder="1" applyAlignment="1">
      <alignment horizontal="center" vertical="center" wrapText="1"/>
    </xf>
    <xf numFmtId="165" fontId="0" fillId="0" borderId="0" xfId="0" applyNumberFormat="1"/>
    <xf numFmtId="0" fontId="4" fillId="4" borderId="37" xfId="0" applyFont="1" applyFill="1" applyBorder="1"/>
    <xf numFmtId="0" fontId="4" fillId="4" borderId="47" xfId="0" applyFont="1" applyFill="1" applyBorder="1" applyAlignment="1">
      <alignment horizontal="left" vertical="center" wrapText="1"/>
    </xf>
    <xf numFmtId="0" fontId="0" fillId="0" borderId="2" xfId="0" applyBorder="1"/>
    <xf numFmtId="0" fontId="0" fillId="0" borderId="20" xfId="0" applyBorder="1"/>
    <xf numFmtId="0" fontId="0" fillId="0" borderId="3" xfId="0" applyBorder="1"/>
    <xf numFmtId="0" fontId="0" fillId="0" borderId="6" xfId="0" applyBorder="1"/>
    <xf numFmtId="0" fontId="0" fillId="0" borderId="21" xfId="0" applyBorder="1"/>
    <xf numFmtId="0" fontId="0" fillId="0" borderId="7" xfId="0" applyBorder="1"/>
    <xf numFmtId="0" fontId="0" fillId="0" borderId="4" xfId="0" applyBorder="1"/>
    <xf numFmtId="0" fontId="0" fillId="0" borderId="5" xfId="0" applyBorder="1"/>
    <xf numFmtId="0" fontId="0" fillId="0" borderId="48" xfId="0" applyBorder="1"/>
    <xf numFmtId="0" fontId="4" fillId="0" borderId="48" xfId="0" applyFont="1" applyBorder="1" applyAlignment="1">
      <alignment horizontal="center" vertical="center"/>
    </xf>
    <xf numFmtId="0" fontId="0" fillId="0" borderId="49" xfId="0" applyBorder="1" applyAlignment="1">
      <alignment horizontal="center" vertical="center"/>
    </xf>
    <xf numFmtId="0" fontId="0" fillId="0" borderId="52" xfId="0" applyBorder="1" applyAlignment="1">
      <alignment horizontal="center" vertical="center"/>
    </xf>
    <xf numFmtId="0" fontId="0" fillId="11" borderId="52" xfId="0" applyFill="1" applyBorder="1" applyAlignment="1">
      <alignment horizontal="center" vertical="center"/>
    </xf>
    <xf numFmtId="0" fontId="0" fillId="0" borderId="54" xfId="0" applyBorder="1" applyAlignment="1">
      <alignment horizontal="center" vertical="center"/>
    </xf>
    <xf numFmtId="0" fontId="0" fillId="0" borderId="55" xfId="0" applyBorder="1"/>
    <xf numFmtId="0" fontId="16" fillId="13" borderId="50" xfId="0" applyFont="1" applyFill="1" applyBorder="1" applyAlignment="1">
      <alignment horizontal="center" vertical="center"/>
    </xf>
    <xf numFmtId="0" fontId="16" fillId="14" borderId="50" xfId="0" applyFont="1" applyFill="1" applyBorder="1" applyAlignment="1">
      <alignment horizontal="center" vertical="center"/>
    </xf>
    <xf numFmtId="0" fontId="16" fillId="13" borderId="48" xfId="0" applyFont="1" applyFill="1" applyBorder="1" applyAlignment="1">
      <alignment horizontal="center" vertical="center"/>
    </xf>
    <xf numFmtId="0" fontId="16" fillId="14" borderId="48" xfId="0" applyFont="1" applyFill="1" applyBorder="1" applyAlignment="1">
      <alignment horizontal="center" vertical="center"/>
    </xf>
    <xf numFmtId="0" fontId="16" fillId="13" borderId="55" xfId="0" applyFont="1" applyFill="1" applyBorder="1" applyAlignment="1">
      <alignment horizontal="center" vertical="center"/>
    </xf>
    <xf numFmtId="0" fontId="16" fillId="14" borderId="55" xfId="0" applyFont="1" applyFill="1" applyBorder="1" applyAlignment="1">
      <alignment horizontal="center" vertical="center"/>
    </xf>
    <xf numFmtId="0" fontId="16" fillId="12" borderId="50" xfId="0" applyFont="1" applyFill="1" applyBorder="1" applyAlignment="1">
      <alignment horizontal="center" vertical="center"/>
    </xf>
    <xf numFmtId="0" fontId="16" fillId="12" borderId="48" xfId="0" applyFont="1" applyFill="1" applyBorder="1" applyAlignment="1">
      <alignment horizontal="center" vertical="center"/>
    </xf>
    <xf numFmtId="0" fontId="16" fillId="12" borderId="55" xfId="0" applyFont="1" applyFill="1" applyBorder="1" applyAlignment="1">
      <alignment horizontal="center" vertical="center"/>
    </xf>
    <xf numFmtId="0" fontId="16" fillId="15" borderId="50" xfId="0" applyFont="1" applyFill="1" applyBorder="1" applyAlignment="1">
      <alignment horizontal="center" vertical="center"/>
    </xf>
    <xf numFmtId="0" fontId="16" fillId="15" borderId="48" xfId="0" applyFont="1" applyFill="1" applyBorder="1" applyAlignment="1">
      <alignment horizontal="center" vertical="center"/>
    </xf>
    <xf numFmtId="0" fontId="16" fillId="15" borderId="55" xfId="0" applyFont="1" applyFill="1" applyBorder="1" applyAlignment="1">
      <alignment horizontal="center" vertical="center"/>
    </xf>
    <xf numFmtId="0" fontId="16" fillId="11" borderId="50" xfId="0" applyFont="1" applyFill="1" applyBorder="1" applyAlignment="1">
      <alignment horizontal="center" vertical="center"/>
    </xf>
    <xf numFmtId="0" fontId="16" fillId="11" borderId="48" xfId="0" applyFont="1" applyFill="1" applyBorder="1" applyAlignment="1">
      <alignment horizontal="center" vertical="center"/>
    </xf>
    <xf numFmtId="0" fontId="16" fillId="11" borderId="55" xfId="0" applyFont="1" applyFill="1" applyBorder="1" applyAlignment="1">
      <alignment horizontal="center" vertical="center"/>
    </xf>
    <xf numFmtId="0" fontId="16" fillId="8" borderId="50" xfId="0" applyFont="1" applyFill="1" applyBorder="1" applyAlignment="1">
      <alignment horizontal="center" vertical="center"/>
    </xf>
    <xf numFmtId="0" fontId="16" fillId="8" borderId="48" xfId="0" applyFont="1" applyFill="1" applyBorder="1" applyAlignment="1">
      <alignment horizontal="center" vertical="center"/>
    </xf>
    <xf numFmtId="0" fontId="16" fillId="8" borderId="55" xfId="0" applyFont="1" applyFill="1" applyBorder="1" applyAlignment="1">
      <alignment horizontal="center" vertical="center"/>
    </xf>
    <xf numFmtId="0" fontId="16" fillId="16" borderId="48" xfId="0" applyFont="1" applyFill="1" applyBorder="1" applyAlignment="1">
      <alignment horizontal="center" vertical="center"/>
    </xf>
    <xf numFmtId="0" fontId="16" fillId="16" borderId="55" xfId="0" applyFont="1" applyFill="1" applyBorder="1" applyAlignment="1">
      <alignment horizontal="center" vertical="center"/>
    </xf>
    <xf numFmtId="0" fontId="16" fillId="16" borderId="50" xfId="0" applyFont="1" applyFill="1" applyBorder="1" applyAlignment="1">
      <alignment horizontal="center" vertical="center"/>
    </xf>
    <xf numFmtId="0" fontId="16" fillId="17" borderId="50" xfId="0" applyFont="1" applyFill="1" applyBorder="1" applyAlignment="1">
      <alignment horizontal="center" vertical="center"/>
    </xf>
    <xf numFmtId="0" fontId="16" fillId="17" borderId="48" xfId="0" applyFont="1" applyFill="1" applyBorder="1" applyAlignment="1">
      <alignment horizontal="center" vertical="center"/>
    </xf>
    <xf numFmtId="0" fontId="16" fillId="19" borderId="50" xfId="0" applyFont="1" applyFill="1" applyBorder="1" applyAlignment="1">
      <alignment horizontal="center" vertical="center"/>
    </xf>
    <xf numFmtId="0" fontId="16" fillId="19" borderId="48" xfId="0" applyFont="1" applyFill="1" applyBorder="1"/>
    <xf numFmtId="0" fontId="16" fillId="18" borderId="50" xfId="0" applyFont="1" applyFill="1" applyBorder="1" applyAlignment="1">
      <alignment horizontal="center" vertical="center"/>
    </xf>
    <xf numFmtId="0" fontId="16" fillId="18" borderId="48" xfId="0" applyFont="1" applyFill="1" applyBorder="1"/>
    <xf numFmtId="0" fontId="4" fillId="17" borderId="50" xfId="0" applyFont="1" applyFill="1" applyBorder="1" applyAlignment="1">
      <alignment horizontal="center" vertical="center"/>
    </xf>
    <xf numFmtId="0" fontId="4" fillId="19" borderId="50" xfId="0" applyFont="1" applyFill="1" applyBorder="1" applyAlignment="1">
      <alignment horizontal="center" vertical="center"/>
    </xf>
    <xf numFmtId="0" fontId="4" fillId="4" borderId="50" xfId="0" applyFont="1" applyFill="1" applyBorder="1" applyAlignment="1">
      <alignment horizontal="center" vertical="center"/>
    </xf>
    <xf numFmtId="0" fontId="4" fillId="0" borderId="50" xfId="0" applyFont="1" applyBorder="1" applyAlignment="1">
      <alignment horizontal="center" vertical="center"/>
    </xf>
    <xf numFmtId="0" fontId="4" fillId="0" borderId="51" xfId="0" applyFont="1" applyBorder="1" applyAlignment="1">
      <alignment horizontal="center" vertical="center"/>
    </xf>
    <xf numFmtId="0" fontId="4" fillId="17" borderId="48" xfId="0" applyFont="1" applyFill="1" applyBorder="1" applyAlignment="1">
      <alignment horizontal="center" vertical="center"/>
    </xf>
    <xf numFmtId="0" fontId="4" fillId="19" borderId="48" xfId="0" applyFont="1" applyFill="1" applyBorder="1" applyAlignment="1">
      <alignment horizontal="center" vertical="center"/>
    </xf>
    <xf numFmtId="0" fontId="4" fillId="18" borderId="48" xfId="0" applyFont="1" applyFill="1" applyBorder="1" applyAlignment="1">
      <alignment horizontal="center" vertical="center"/>
    </xf>
    <xf numFmtId="0" fontId="4" fillId="4" borderId="48" xfId="0" applyFont="1" applyFill="1" applyBorder="1" applyAlignment="1">
      <alignment horizontal="center" vertical="center"/>
    </xf>
    <xf numFmtId="0" fontId="4" fillId="0" borderId="53" xfId="0" applyFont="1" applyBorder="1" applyAlignment="1">
      <alignment horizontal="center" vertical="center"/>
    </xf>
    <xf numFmtId="0" fontId="4" fillId="17" borderId="55" xfId="0" applyFont="1" applyFill="1" applyBorder="1" applyAlignment="1">
      <alignment horizontal="center" vertical="center"/>
    </xf>
    <xf numFmtId="0" fontId="4" fillId="19" borderId="55" xfId="0" applyFont="1" applyFill="1" applyBorder="1" applyAlignment="1">
      <alignment horizontal="center" vertical="center"/>
    </xf>
    <xf numFmtId="0" fontId="4" fillId="18" borderId="55" xfId="0" applyFont="1" applyFill="1" applyBorder="1" applyAlignment="1">
      <alignment horizontal="center" vertical="center"/>
    </xf>
    <xf numFmtId="0" fontId="4" fillId="4" borderId="55" xfId="0" applyFont="1" applyFill="1" applyBorder="1" applyAlignment="1">
      <alignment horizontal="center" vertical="center"/>
    </xf>
    <xf numFmtId="0" fontId="0" fillId="0" borderId="50" xfId="0" applyBorder="1"/>
    <xf numFmtId="0" fontId="0" fillId="0" borderId="51" xfId="0" applyBorder="1"/>
    <xf numFmtId="0" fontId="0" fillId="0" borderId="53" xfId="0" applyBorder="1"/>
    <xf numFmtId="0" fontId="0" fillId="5" borderId="52" xfId="0" applyFill="1" applyBorder="1" applyAlignment="1">
      <alignment horizontal="center" vertical="center"/>
    </xf>
    <xf numFmtId="0" fontId="0" fillId="0" borderId="56" xfId="0" applyBorder="1"/>
    <xf numFmtId="0" fontId="0" fillId="2" borderId="0" xfId="0" applyFill="1" applyAlignment="1">
      <alignment horizontal="right"/>
    </xf>
    <xf numFmtId="0" fontId="0" fillId="2" borderId="5" xfId="0" applyFill="1" applyBorder="1" applyAlignment="1">
      <alignment horizontal="right"/>
    </xf>
    <xf numFmtId="0" fontId="0" fillId="2" borderId="21" xfId="0" applyFill="1" applyBorder="1" applyAlignment="1">
      <alignment horizontal="right"/>
    </xf>
    <xf numFmtId="0" fontId="0" fillId="2" borderId="0" xfId="0" applyFill="1" applyAlignment="1">
      <alignment horizontal="center"/>
    </xf>
    <xf numFmtId="165" fontId="0" fillId="2" borderId="21" xfId="0" applyNumberFormat="1" applyFill="1" applyBorder="1"/>
    <xf numFmtId="0" fontId="4" fillId="3" borderId="15" xfId="0" applyFont="1" applyFill="1" applyBorder="1" applyAlignment="1">
      <alignment horizontal="center" vertical="center"/>
    </xf>
    <xf numFmtId="167" fontId="0" fillId="2" borderId="21" xfId="0" applyNumberFormat="1" applyFill="1" applyBorder="1"/>
    <xf numFmtId="167" fontId="0" fillId="2" borderId="0" xfId="0" applyNumberFormat="1" applyFill="1" applyAlignment="1">
      <alignment horizontal="center" vertical="center"/>
    </xf>
    <xf numFmtId="165" fontId="0" fillId="0" borderId="0" xfId="0" applyNumberFormat="1" applyAlignment="1">
      <alignment wrapText="1"/>
    </xf>
    <xf numFmtId="165" fontId="0" fillId="11" borderId="0" xfId="0" applyNumberFormat="1" applyFill="1" applyAlignment="1">
      <alignment wrapText="1"/>
    </xf>
    <xf numFmtId="169" fontId="0" fillId="0" borderId="0" xfId="0" applyNumberFormat="1" applyAlignment="1">
      <alignment wrapText="1"/>
    </xf>
    <xf numFmtId="169" fontId="0" fillId="0" borderId="0" xfId="0" applyNumberFormat="1"/>
    <xf numFmtId="0" fontId="0" fillId="20" borderId="0" xfId="0" applyFill="1"/>
    <xf numFmtId="0" fontId="17" fillId="11" borderId="47" xfId="0" applyFont="1" applyFill="1" applyBorder="1"/>
    <xf numFmtId="0" fontId="17" fillId="0" borderId="0" xfId="0" applyFont="1"/>
    <xf numFmtId="0" fontId="17" fillId="11" borderId="0" xfId="0" applyFont="1" applyFill="1"/>
    <xf numFmtId="0" fontId="17" fillId="11" borderId="1" xfId="0" applyFont="1" applyFill="1" applyBorder="1"/>
    <xf numFmtId="0" fontId="17" fillId="11" borderId="1" xfId="0" applyFont="1" applyFill="1" applyBorder="1" applyAlignment="1">
      <alignment horizontal="left" vertical="center" wrapText="1"/>
    </xf>
    <xf numFmtId="0" fontId="17" fillId="0" borderId="0" xfId="0" applyFont="1" applyFill="1"/>
    <xf numFmtId="2" fontId="17" fillId="0" borderId="0" xfId="0" applyNumberFormat="1" applyFont="1"/>
    <xf numFmtId="0" fontId="18" fillId="0" borderId="0" xfId="0" applyFont="1"/>
    <xf numFmtId="0" fontId="17" fillId="0" borderId="37" xfId="0" applyFont="1" applyBorder="1"/>
    <xf numFmtId="0" fontId="12" fillId="6" borderId="0" xfId="0" applyFont="1" applyFill="1" applyAlignment="1">
      <alignment horizontal="left" vertical="center"/>
    </xf>
    <xf numFmtId="0" fontId="10" fillId="8" borderId="15" xfId="0" applyFont="1" applyFill="1" applyBorder="1" applyAlignment="1">
      <alignment horizontal="left"/>
    </xf>
    <xf numFmtId="0" fontId="10" fillId="8" borderId="25" xfId="0" applyFont="1" applyFill="1" applyBorder="1" applyAlignment="1">
      <alignment horizontal="left"/>
    </xf>
    <xf numFmtId="0" fontId="10" fillId="8" borderId="16" xfId="0" applyFont="1" applyFill="1" applyBorder="1" applyAlignment="1">
      <alignment horizontal="left"/>
    </xf>
    <xf numFmtId="0" fontId="10" fillId="0" borderId="42" xfId="0" applyFont="1" applyBorder="1" applyAlignment="1">
      <alignment horizontal="left" vertical="center"/>
    </xf>
    <xf numFmtId="0" fontId="10" fillId="0" borderId="24" xfId="0" applyFont="1" applyBorder="1" applyAlignment="1">
      <alignment horizontal="left" vertical="center"/>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0" fillId="7" borderId="15" xfId="0" applyFill="1" applyBorder="1" applyAlignment="1">
      <alignment horizontal="center" vertical="center" wrapText="1"/>
    </xf>
    <xf numFmtId="0" fontId="0" fillId="7" borderId="25" xfId="0" applyFill="1" applyBorder="1" applyAlignment="1">
      <alignment horizontal="center" vertical="center" wrapText="1"/>
    </xf>
    <xf numFmtId="0" fontId="0" fillId="7" borderId="16" xfId="0" applyFill="1" applyBorder="1" applyAlignment="1">
      <alignment horizontal="center" vertical="center" wrapText="1"/>
    </xf>
    <xf numFmtId="0" fontId="0" fillId="0" borderId="19" xfId="0" applyBorder="1" applyAlignment="1">
      <alignment horizontal="center" vertical="center" wrapText="1"/>
    </xf>
    <xf numFmtId="0" fontId="0" fillId="0" borderId="8" xfId="0" applyBorder="1" applyAlignment="1">
      <alignment horizontal="center" vertical="center" wrapText="1"/>
    </xf>
    <xf numFmtId="0" fontId="0" fillId="0" borderId="0" xfId="0" applyAlignment="1">
      <alignment horizontal="center" vertical="center" wrapText="1"/>
    </xf>
    <xf numFmtId="0" fontId="0" fillId="0" borderId="36" xfId="0" applyBorder="1" applyAlignment="1">
      <alignment horizontal="center" vertical="center" wrapText="1"/>
    </xf>
    <xf numFmtId="0" fontId="0" fillId="0" borderId="32" xfId="0" applyBorder="1" applyAlignment="1">
      <alignment horizontal="center" vertical="center" wrapText="1"/>
    </xf>
    <xf numFmtId="0" fontId="0" fillId="0" borderId="24" xfId="0" applyBorder="1" applyAlignment="1">
      <alignment horizontal="center" vertical="center" wrapText="1"/>
    </xf>
    <xf numFmtId="0" fontId="0" fillId="0" borderId="22"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23" xfId="0" applyBorder="1" applyAlignment="1">
      <alignment horizontal="center" vertical="center" wrapText="1"/>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25" xfId="0" applyBorder="1" applyAlignment="1">
      <alignment horizontal="center" vertical="center" wrapText="1"/>
    </xf>
    <xf numFmtId="0" fontId="0" fillId="0" borderId="16" xfId="0" applyBorder="1" applyAlignment="1">
      <alignment horizontal="center" vertical="center"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43" xfId="0" applyBorder="1" applyAlignment="1">
      <alignment horizontal="center" vertical="center" wrapText="1"/>
    </xf>
    <xf numFmtId="0" fontId="0" fillId="0" borderId="39" xfId="0" applyBorder="1" applyAlignment="1">
      <alignment horizontal="center" vertical="center" wrapText="1"/>
    </xf>
    <xf numFmtId="0" fontId="0" fillId="0" borderId="40" xfId="0" applyBorder="1" applyAlignment="1">
      <alignment horizontal="center" vertical="center" wrapText="1"/>
    </xf>
    <xf numFmtId="0" fontId="0" fillId="0" borderId="38" xfId="0" applyBorder="1" applyAlignment="1">
      <alignment horizontal="center" vertical="center" wrapText="1"/>
    </xf>
    <xf numFmtId="0" fontId="0" fillId="0" borderId="27" xfId="0" applyBorder="1" applyAlignment="1">
      <alignment horizontal="center" vertical="center" wrapText="1"/>
    </xf>
    <xf numFmtId="0" fontId="0" fillId="0" borderId="28" xfId="0" applyBorder="1" applyAlignment="1">
      <alignment horizontal="center" vertical="center" wrapText="1"/>
    </xf>
    <xf numFmtId="0" fontId="4" fillId="7" borderId="2" xfId="0" applyFont="1" applyFill="1" applyBorder="1" applyAlignment="1">
      <alignment horizontal="center" vertical="center" wrapText="1"/>
    </xf>
    <xf numFmtId="0" fontId="4" fillId="7" borderId="20"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4" fillId="7" borderId="21" xfId="0" applyFont="1" applyFill="1" applyBorder="1" applyAlignment="1">
      <alignment horizontal="center" vertical="center" wrapText="1"/>
    </xf>
    <xf numFmtId="0" fontId="4" fillId="7" borderId="7" xfId="0" applyFont="1" applyFill="1" applyBorder="1" applyAlignment="1">
      <alignment horizontal="center" vertical="center" wrapText="1"/>
    </xf>
    <xf numFmtId="0" fontId="0" fillId="3" borderId="15" xfId="0" applyFill="1" applyBorder="1" applyAlignment="1">
      <alignment horizontal="center"/>
    </xf>
    <xf numFmtId="0" fontId="0" fillId="3" borderId="20" xfId="0" applyFill="1" applyBorder="1" applyAlignment="1">
      <alignment horizontal="center"/>
    </xf>
    <xf numFmtId="0" fontId="0" fillId="3" borderId="3" xfId="0" applyFill="1" applyBorder="1" applyAlignment="1">
      <alignment horizontal="center"/>
    </xf>
    <xf numFmtId="0" fontId="0" fillId="4" borderId="2" xfId="0" applyFill="1" applyBorder="1" applyAlignment="1">
      <alignment horizontal="center"/>
    </xf>
    <xf numFmtId="0" fontId="0" fillId="4" borderId="20" xfId="0" applyFill="1" applyBorder="1" applyAlignment="1">
      <alignment horizontal="center"/>
    </xf>
    <xf numFmtId="0" fontId="0" fillId="4" borderId="3" xfId="0" applyFill="1" applyBorder="1" applyAlignment="1">
      <alignment horizontal="center"/>
    </xf>
    <xf numFmtId="0" fontId="0" fillId="4" borderId="15" xfId="0" applyFill="1" applyBorder="1" applyAlignment="1">
      <alignment horizontal="center"/>
    </xf>
    <xf numFmtId="0" fontId="0" fillId="4" borderId="25" xfId="0" applyFill="1" applyBorder="1" applyAlignment="1">
      <alignment horizontal="center"/>
    </xf>
    <xf numFmtId="0" fontId="0" fillId="4" borderId="16" xfId="0" applyFill="1" applyBorder="1" applyAlignment="1">
      <alignment horizontal="center"/>
    </xf>
    <xf numFmtId="0" fontId="0" fillId="2" borderId="2" xfId="0" applyFill="1" applyBorder="1" applyAlignment="1">
      <alignment horizontal="center"/>
    </xf>
    <xf numFmtId="0" fontId="0" fillId="2" borderId="20" xfId="0" applyFill="1" applyBorder="1" applyAlignment="1">
      <alignment horizontal="center"/>
    </xf>
    <xf numFmtId="0" fontId="0" fillId="2" borderId="3" xfId="0" applyFill="1" applyBorder="1" applyAlignment="1">
      <alignment horizontal="center"/>
    </xf>
    <xf numFmtId="0" fontId="0" fillId="0" borderId="0" xfId="0" applyAlignment="1">
      <alignment horizontal="center"/>
    </xf>
    <xf numFmtId="0" fontId="0" fillId="8" borderId="15" xfId="0" applyFill="1" applyBorder="1" applyAlignment="1">
      <alignment horizontal="center" vertical="center"/>
    </xf>
    <xf numFmtId="0" fontId="0" fillId="8" borderId="25" xfId="0" applyFill="1" applyBorder="1" applyAlignment="1">
      <alignment horizontal="center" vertical="center"/>
    </xf>
    <xf numFmtId="0" fontId="0" fillId="8" borderId="16" xfId="0" applyFill="1" applyBorder="1" applyAlignment="1">
      <alignment horizontal="center" vertical="center"/>
    </xf>
    <xf numFmtId="0" fontId="0" fillId="0" borderId="0" xfId="0" applyAlignment="1">
      <alignment horizontal="center" vertical="center"/>
    </xf>
    <xf numFmtId="0" fontId="0" fillId="2" borderId="18" xfId="0" applyFill="1" applyBorder="1" applyAlignment="1">
      <alignment horizontal="center" vertical="center"/>
    </xf>
    <xf numFmtId="0" fontId="0" fillId="2" borderId="19" xfId="0" applyFill="1" applyBorder="1" applyAlignment="1">
      <alignment horizontal="center" vertical="center"/>
    </xf>
    <xf numFmtId="0" fontId="0" fillId="2" borderId="17" xfId="0" applyFill="1" applyBorder="1" applyAlignment="1">
      <alignment horizontal="center" vertical="center"/>
    </xf>
    <xf numFmtId="0" fontId="0" fillId="5" borderId="15" xfId="0" applyFill="1" applyBorder="1" applyAlignment="1">
      <alignment horizontal="center" vertical="center"/>
    </xf>
    <xf numFmtId="0" fontId="0" fillId="5" borderId="21" xfId="0" applyFill="1" applyBorder="1" applyAlignment="1">
      <alignment horizontal="center" vertical="center"/>
    </xf>
    <xf numFmtId="0" fontId="0" fillId="5" borderId="25" xfId="0" applyFill="1" applyBorder="1" applyAlignment="1">
      <alignment horizontal="center" vertical="center"/>
    </xf>
    <xf numFmtId="0" fontId="0" fillId="5" borderId="16" xfId="0" applyFill="1" applyBorder="1" applyAlignment="1">
      <alignment horizontal="center" vertical="center"/>
    </xf>
    <xf numFmtId="0" fontId="0" fillId="5" borderId="20" xfId="0" applyFill="1" applyBorder="1" applyAlignment="1">
      <alignment horizontal="center" vertical="center"/>
    </xf>
    <xf numFmtId="0" fontId="17" fillId="3" borderId="37" xfId="0" applyFont="1" applyFill="1" applyBorder="1"/>
    <xf numFmtId="0" fontId="0" fillId="3" borderId="0" xfId="0" applyFill="1"/>
    <xf numFmtId="0" fontId="17" fillId="3" borderId="0" xfId="0" applyFont="1" applyFill="1"/>
    <xf numFmtId="0" fontId="17" fillId="3" borderId="0" xfId="0" applyFont="1" applyFill="1" applyBorder="1"/>
    <xf numFmtId="169" fontId="17" fillId="0" borderId="0" xfId="0" applyNumberFormat="1" applyFont="1"/>
    <xf numFmtId="169" fontId="0" fillId="3" borderId="0" xfId="0" applyNumberFormat="1" applyFill="1"/>
    <xf numFmtId="165" fontId="0" fillId="0" borderId="37" xfId="0" applyNumberFormat="1" applyBorder="1"/>
    <xf numFmtId="165" fontId="0" fillId="0" borderId="35" xfId="0" applyNumberFormat="1" applyBorder="1"/>
    <xf numFmtId="0" fontId="0" fillId="0" borderId="35" xfId="0" applyBorder="1"/>
    <xf numFmtId="11" fontId="0" fillId="0" borderId="35" xfId="0" applyNumberFormat="1" applyBorder="1"/>
    <xf numFmtId="165" fontId="0" fillId="0" borderId="35" xfId="0" applyNumberFormat="1" applyBorder="1" applyAlignment="1">
      <alignment wrapText="1"/>
    </xf>
    <xf numFmtId="169" fontId="0" fillId="0" borderId="35" xfId="0" applyNumberFormat="1" applyBorder="1" applyAlignment="1">
      <alignment wrapText="1"/>
    </xf>
    <xf numFmtId="165" fontId="0" fillId="11" borderId="35" xfId="0" applyNumberFormat="1" applyFill="1" applyBorder="1" applyAlignment="1">
      <alignment wrapText="1"/>
    </xf>
    <xf numFmtId="169" fontId="0" fillId="3" borderId="35" xfId="0" applyNumberFormat="1" applyFill="1" applyBorder="1"/>
    <xf numFmtId="165" fontId="0" fillId="0" borderId="36" xfId="0" applyNumberFormat="1" applyBorder="1"/>
    <xf numFmtId="169" fontId="17" fillId="0" borderId="35" xfId="0" applyNumberFormat="1" applyFont="1" applyBorder="1"/>
    <xf numFmtId="169" fontId="0" fillId="0" borderId="35" xfId="0" applyNumberFormat="1" applyBorder="1"/>
    <xf numFmtId="0" fontId="17" fillId="11" borderId="46" xfId="0" applyFont="1" applyFill="1" applyBorder="1"/>
    <xf numFmtId="0" fontId="0" fillId="0" borderId="45" xfId="0" applyBorder="1"/>
    <xf numFmtId="0" fontId="0" fillId="0" borderId="57" xfId="0" applyBorder="1"/>
    <xf numFmtId="165" fontId="0" fillId="0" borderId="57" xfId="0" applyNumberFormat="1" applyBorder="1"/>
  </cellXfs>
  <cellStyles count="3">
    <cellStyle name="Hyperlink" xfId="1" builtinId="8"/>
    <cellStyle name="Normal" xfId="0" builtinId="0"/>
    <cellStyle name="Percent" xfId="2" builtinId="5"/>
  </cellStyles>
  <dxfs count="65">
    <dxf>
      <fill>
        <patternFill>
          <bgColor rgb="FFFFC000"/>
        </patternFill>
      </fill>
    </dxf>
    <dxf>
      <fill>
        <patternFill>
          <bgColor rgb="FF92D050"/>
        </patternFill>
      </fill>
      <border>
        <left style="thin">
          <color auto="1"/>
        </left>
        <right style="thin">
          <color auto="1"/>
        </right>
        <top style="thin">
          <color auto="1"/>
        </top>
        <bottom style="thin">
          <color auto="1"/>
        </bottom>
        <vertical/>
        <horizontal/>
      </border>
    </dxf>
    <dxf>
      <fill>
        <patternFill>
          <bgColor rgb="FFFFFF00"/>
        </patternFill>
      </fill>
    </dxf>
    <dxf>
      <fill>
        <patternFill>
          <bgColor rgb="FFFFC000"/>
        </patternFill>
      </fill>
    </dxf>
    <dxf>
      <fill>
        <patternFill>
          <bgColor rgb="FFFF0000"/>
        </patternFill>
      </fill>
    </dxf>
    <dxf>
      <fill>
        <patternFill>
          <bgColor rgb="FFFAA306"/>
        </patternFill>
      </fill>
    </dxf>
    <dxf>
      <fill>
        <patternFill>
          <bgColor rgb="FFFFFF00"/>
        </patternFill>
      </fill>
    </dxf>
    <dxf>
      <fill>
        <patternFill>
          <bgColor rgb="FFFFC000"/>
        </patternFill>
      </fill>
    </dxf>
    <dxf>
      <fill>
        <patternFill>
          <bgColor rgb="FFFF0000"/>
        </patternFill>
      </fill>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6" formatCode="0.00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8" formatCode="0.000E+00"/>
      <alignment horizontal="center" vertical="center" textRotation="0" wrapText="0" indent="0" justifyLastLine="0" shrinkToFit="0" readingOrder="0"/>
    </dxf>
    <dxf>
      <numFmt numFmtId="168" formatCode="0.000E+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1" indent="0" justifyLastLine="0" shrinkToFit="0" readingOrder="0"/>
    </dxf>
    <dxf>
      <numFmt numFmtId="165" formatCode="0.000"/>
      <alignment horizontal="center" vertical="center" textRotation="0" wrapText="1" indent="0" justifyLastLine="0" shrinkToFit="0" readingOrder="0"/>
    </dxf>
    <dxf>
      <numFmt numFmtId="165" formatCode="0.000"/>
      <alignment horizontal="center" vertical="center" textRotation="0" wrapText="1" indent="0" justifyLastLine="0" shrinkToFit="0" readingOrder="0"/>
    </dxf>
    <dxf>
      <numFmt numFmtId="165" formatCode="0.000"/>
      <alignment horizontal="center" vertical="center" textRotation="0" wrapText="1" indent="0" justifyLastLine="0" shrinkToFit="0" readingOrder="0"/>
    </dxf>
    <dxf>
      <numFmt numFmtId="165" formatCode="0.000"/>
      <alignment horizontal="center" vertical="center" textRotation="0" wrapText="1" indent="0" justifyLastLine="0" shrinkToFit="0" readingOrder="0"/>
    </dxf>
    <dxf>
      <numFmt numFmtId="165" formatCode="0.000"/>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Medium9"/>
  <colors>
    <mruColors>
      <color rgb="FFFFFF66"/>
      <color rgb="FFFAA30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000">
                <a:latin typeface="Times New Roman" panose="02020603050405020304" pitchFamily="18" charset="0"/>
                <a:cs typeface="Times New Roman" panose="02020603050405020304" pitchFamily="18" charset="0"/>
              </a:rPr>
              <a:t>Density variation</a:t>
            </a:r>
            <a:endParaRPr lang="el-GR" sz="1000">
              <a:latin typeface="Times New Roman" panose="02020603050405020304" pitchFamily="18" charset="0"/>
              <a:cs typeface="Times New Roman" panose="02020603050405020304" pitchFamily="18" charset="0"/>
            </a:endParaRPr>
          </a:p>
        </c:rich>
      </c:tx>
      <c:layout>
        <c:manualLayout>
          <c:xMode val="edge"/>
          <c:yMode val="edge"/>
          <c:x val="0.35529247968403355"/>
          <c:y val="2.0609310756491528E-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0.17542377432855061"/>
          <c:y val="0.13769183292502377"/>
          <c:w val="0.75497436490656933"/>
          <c:h val="0.66118779950440287"/>
        </c:manualLayout>
      </c:layout>
      <c:scatterChart>
        <c:scatterStyle val="smoothMarker"/>
        <c:varyColors val="0"/>
        <c:ser>
          <c:idx val="0"/>
          <c:order val="0"/>
          <c:tx>
            <c:strRef>
              <c:f>'Manual rev.1'!$F$227</c:f>
              <c:strCache>
                <c:ptCount val="1"/>
                <c:pt idx="0">
                  <c:v>ρ/ρ0</c:v>
                </c:pt>
              </c:strCache>
            </c:strRef>
          </c:tx>
          <c:spPr>
            <a:ln w="19050" cap="rnd">
              <a:solidFill>
                <a:schemeClr val="accent1"/>
              </a:solidFill>
              <a:round/>
            </a:ln>
            <a:effectLst/>
          </c:spPr>
          <c:marker>
            <c:symbol val="circle"/>
            <c:size val="5"/>
            <c:spPr>
              <a:solidFill>
                <a:schemeClr val="accent1"/>
              </a:solidFill>
              <a:ln w="1270">
                <a:solidFill>
                  <a:schemeClr val="accent1"/>
                </a:solidFill>
              </a:ln>
              <a:effectLst/>
            </c:spPr>
          </c:marker>
          <c:xVal>
            <c:numRef>
              <c:f>'Manual rev.1'!$E$228:$E$237</c:f>
              <c:numCache>
                <c:formatCode>General</c:formatCode>
                <c:ptCount val="10"/>
                <c:pt idx="0">
                  <c:v>0.1</c:v>
                </c:pt>
                <c:pt idx="1">
                  <c:v>0.15</c:v>
                </c:pt>
                <c:pt idx="2">
                  <c:v>0.25</c:v>
                </c:pt>
                <c:pt idx="3">
                  <c:v>0.28000000000000003</c:v>
                </c:pt>
                <c:pt idx="4">
                  <c:v>0.3</c:v>
                </c:pt>
                <c:pt idx="5">
                  <c:v>0.32</c:v>
                </c:pt>
                <c:pt idx="6">
                  <c:v>0.4</c:v>
                </c:pt>
                <c:pt idx="7">
                  <c:v>0.7</c:v>
                </c:pt>
                <c:pt idx="8">
                  <c:v>0.8</c:v>
                </c:pt>
                <c:pt idx="9">
                  <c:v>1</c:v>
                </c:pt>
              </c:numCache>
            </c:numRef>
          </c:xVal>
          <c:yVal>
            <c:numRef>
              <c:f>'Manual rev.1'!$F$228:$F$237</c:f>
              <c:numCache>
                <c:formatCode>General</c:formatCode>
                <c:ptCount val="10"/>
                <c:pt idx="0">
                  <c:v>0.99501744764400046</c:v>
                </c:pt>
                <c:pt idx="1">
                  <c:v>0.98883799942083594</c:v>
                </c:pt>
                <c:pt idx="2">
                  <c:v>0.96942099314119834</c:v>
                </c:pt>
                <c:pt idx="3">
                  <c:v>0.96185088330603818</c:v>
                </c:pt>
                <c:pt idx="4">
                  <c:v>0.95638015306690838</c:v>
                </c:pt>
                <c:pt idx="5">
                  <c:v>0.95058018276636214</c:v>
                </c:pt>
                <c:pt idx="6">
                  <c:v>0.92427404330578189</c:v>
                </c:pt>
                <c:pt idx="7">
                  <c:v>0.79157879136912335</c:v>
                </c:pt>
                <c:pt idx="8">
                  <c:v>0.73999238550892377</c:v>
                </c:pt>
                <c:pt idx="9">
                  <c:v>0.63393814526060888</c:v>
                </c:pt>
              </c:numCache>
            </c:numRef>
          </c:yVal>
          <c:smooth val="1"/>
          <c:extLst xmlns:c16r2="http://schemas.microsoft.com/office/drawing/2015/06/chart">
            <c:ext xmlns:c16="http://schemas.microsoft.com/office/drawing/2014/chart" uri="{C3380CC4-5D6E-409C-BE32-E72D297353CC}">
              <c16:uniqueId val="{00000000-9835-478F-8138-D014632F95C6}"/>
            </c:ext>
          </c:extLst>
        </c:ser>
        <c:dLbls>
          <c:showLegendKey val="0"/>
          <c:showVal val="0"/>
          <c:showCatName val="0"/>
          <c:showSerName val="0"/>
          <c:showPercent val="0"/>
          <c:showBubbleSize val="0"/>
        </c:dLbls>
        <c:axId val="322616368"/>
        <c:axId val="322604944"/>
      </c:scatterChart>
      <c:valAx>
        <c:axId val="322616368"/>
        <c:scaling>
          <c:orientation val="minMax"/>
          <c:max val="1"/>
          <c:min val="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Mach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604944"/>
        <c:crosses val="autoZero"/>
        <c:crossBetween val="midCat"/>
        <c:majorUnit val="0.30000000000000004"/>
        <c:minorUnit val="0.30000000000000004"/>
      </c:valAx>
      <c:valAx>
        <c:axId val="322604944"/>
        <c:scaling>
          <c:orientation val="minMax"/>
          <c:max val="1"/>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l-GR" sz="1000">
                    <a:latin typeface="Aptos Narrow" panose="020B0004020202020204" pitchFamily="34" charset="0"/>
                  </a:rPr>
                  <a:t>ρ</a:t>
                </a:r>
                <a:r>
                  <a:rPr lang="en-US" sz="1000" b="0" i="0" u="none" strike="noStrike" kern="1200" baseline="0">
                    <a:solidFill>
                      <a:sysClr val="windowText" lastClr="000000">
                        <a:lumMod val="65000"/>
                        <a:lumOff val="35000"/>
                      </a:sysClr>
                    </a:solidFill>
                    <a:latin typeface="Aptos Narrow" panose="020B0004020202020204" pitchFamily="34" charset="0"/>
                  </a:rPr>
                  <a:t>/</a:t>
                </a:r>
                <a:r>
                  <a:rPr lang="el-GR" sz="1000" b="0" i="0" u="none" strike="noStrike" kern="1200" baseline="0">
                    <a:solidFill>
                      <a:sysClr val="windowText" lastClr="000000">
                        <a:lumMod val="65000"/>
                        <a:lumOff val="35000"/>
                      </a:sysClr>
                    </a:solidFill>
                    <a:latin typeface="Aptos Narrow" panose="020B0004020202020204" pitchFamily="34" charset="0"/>
                  </a:rPr>
                  <a:t>ρ</a:t>
                </a:r>
                <a:r>
                  <a:rPr lang="en-US" sz="1000" b="0" i="0" u="none" strike="noStrike" kern="1200" baseline="0">
                    <a:solidFill>
                      <a:sysClr val="windowText" lastClr="000000">
                        <a:lumMod val="65000"/>
                        <a:lumOff val="35000"/>
                      </a:sysClr>
                    </a:solidFill>
                    <a:latin typeface="Aptos Narrow" panose="020B0004020202020204" pitchFamily="34" charset="0"/>
                  </a:rPr>
                  <a:t>0</a:t>
                </a:r>
                <a:endParaRPr lang="es-MX" sz="1000"/>
              </a:p>
            </c:rich>
          </c:tx>
          <c:layout>
            <c:manualLayout>
              <c:xMode val="edge"/>
              <c:yMode val="edge"/>
              <c:x val="3.0905583031765787E-5"/>
              <c:y val="0.3912097625601820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616368"/>
        <c:crosses val="autoZero"/>
        <c:crossBetween val="midCat"/>
        <c:majorUnit val="0.5"/>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scatterChart>
        <c:scatterStyle val="smoothMarker"/>
        <c:varyColors val="0"/>
        <c:ser>
          <c:idx val="1"/>
          <c:order val="0"/>
          <c:tx>
            <c:v>Curve Ogive</c:v>
          </c:tx>
          <c:spPr>
            <a:ln w="19050" cap="rnd">
              <a:solidFill>
                <a:schemeClr val="accent1">
                  <a:shade val="76000"/>
                </a:schemeClr>
              </a:solidFill>
              <a:round/>
            </a:ln>
            <a:effectLst/>
          </c:spPr>
          <c:marker>
            <c:symbol val="none"/>
          </c:marker>
          <c:xVal>
            <c:numRef>
              <c:f>Geometry!$T$13:$T$22</c:f>
              <c:numCache>
                <c:formatCode>General</c:formatCode>
                <c:ptCount val="10"/>
                <c:pt idx="0">
                  <c:v>0</c:v>
                </c:pt>
                <c:pt idx="1">
                  <c:v>1.875</c:v>
                </c:pt>
                <c:pt idx="2">
                  <c:v>5.625</c:v>
                </c:pt>
                <c:pt idx="3">
                  <c:v>9.375</c:v>
                </c:pt>
                <c:pt idx="4">
                  <c:v>13.125</c:v>
                </c:pt>
                <c:pt idx="5">
                  <c:v>16.875</c:v>
                </c:pt>
                <c:pt idx="6">
                  <c:v>20.625</c:v>
                </c:pt>
                <c:pt idx="7">
                  <c:v>24.375</c:v>
                </c:pt>
                <c:pt idx="8">
                  <c:v>28.125</c:v>
                </c:pt>
                <c:pt idx="9">
                  <c:v>30</c:v>
                </c:pt>
              </c:numCache>
            </c:numRef>
          </c:xVal>
          <c:yVal>
            <c:numRef>
              <c:f>Geometry!$U$13:$U$22</c:f>
              <c:numCache>
                <c:formatCode>General</c:formatCode>
                <c:ptCount val="10"/>
                <c:pt idx="0">
                  <c:v>0</c:v>
                </c:pt>
                <c:pt idx="1">
                  <c:v>0.80028140974278017</c:v>
                </c:pt>
                <c:pt idx="2">
                  <c:v>2.2227341724329506</c:v>
                </c:pt>
                <c:pt idx="3">
                  <c:v>3.4193360049676613</c:v>
                </c:pt>
                <c:pt idx="4">
                  <c:v>4.4013339085217069</c:v>
                </c:pt>
                <c:pt idx="5">
                  <c:v>5.1774045961570891</c:v>
                </c:pt>
                <c:pt idx="6">
                  <c:v>5.7540762469702145</c:v>
                </c:pt>
                <c:pt idx="7">
                  <c:v>6.1360215886791423</c:v>
                </c:pt>
                <c:pt idx="8">
                  <c:v>6.3262551688511195</c:v>
                </c:pt>
                <c:pt idx="9">
                  <c:v>6.3499999999999943</c:v>
                </c:pt>
              </c:numCache>
            </c:numRef>
          </c:yVal>
          <c:smooth val="1"/>
          <c:extLst xmlns:c16r2="http://schemas.microsoft.com/office/drawing/2015/06/chart">
            <c:ext xmlns:c16="http://schemas.microsoft.com/office/drawing/2014/chart" uri="{C3380CC4-5D6E-409C-BE32-E72D297353CC}">
              <c16:uniqueId val="{00000001-3EED-4A41-8FB3-D2AF21D4162C}"/>
            </c:ext>
          </c:extLst>
        </c:ser>
        <c:dLbls>
          <c:showLegendKey val="0"/>
          <c:showVal val="0"/>
          <c:showCatName val="0"/>
          <c:showSerName val="0"/>
          <c:showPercent val="0"/>
          <c:showBubbleSize val="0"/>
        </c:dLbls>
        <c:axId val="424947664"/>
        <c:axId val="424952016"/>
      </c:scatterChart>
      <c:valAx>
        <c:axId val="424947664"/>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24952016"/>
        <c:crosses val="autoZero"/>
        <c:crossBetween val="midCat"/>
      </c:valAx>
      <c:valAx>
        <c:axId val="42495201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24947664"/>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Geometry x-y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v>Cone+</c:v>
          </c:tx>
          <c:spPr>
            <a:ln w="19050" cap="rnd">
              <a:solidFill>
                <a:schemeClr val="accent1"/>
              </a:solidFill>
              <a:round/>
            </a:ln>
            <a:effectLst/>
          </c:spPr>
          <c:marker>
            <c:symbol val="none"/>
          </c:marker>
          <c:xVal>
            <c:numRef>
              <c:f>Geometry!$H$13:$H$22</c:f>
              <c:numCache>
                <c:formatCode>General</c:formatCode>
                <c:ptCount val="10"/>
                <c:pt idx="0">
                  <c:v>0</c:v>
                </c:pt>
                <c:pt idx="1">
                  <c:v>1.875</c:v>
                </c:pt>
                <c:pt idx="2">
                  <c:v>5.625</c:v>
                </c:pt>
                <c:pt idx="3">
                  <c:v>9.375</c:v>
                </c:pt>
                <c:pt idx="4">
                  <c:v>13.125</c:v>
                </c:pt>
                <c:pt idx="5">
                  <c:v>16.875</c:v>
                </c:pt>
                <c:pt idx="6">
                  <c:v>20.625</c:v>
                </c:pt>
                <c:pt idx="7">
                  <c:v>24.375</c:v>
                </c:pt>
                <c:pt idx="8">
                  <c:v>28.125</c:v>
                </c:pt>
                <c:pt idx="9">
                  <c:v>30</c:v>
                </c:pt>
              </c:numCache>
            </c:numRef>
          </c:xVal>
          <c:yVal>
            <c:numRef>
              <c:f>Geometry!$I$13:$I$22</c:f>
              <c:numCache>
                <c:formatCode>General</c:formatCode>
                <c:ptCount val="10"/>
                <c:pt idx="0">
                  <c:v>0</c:v>
                </c:pt>
                <c:pt idx="1">
                  <c:v>0.39687499999999998</c:v>
                </c:pt>
                <c:pt idx="2">
                  <c:v>1.190625</c:v>
                </c:pt>
                <c:pt idx="3">
                  <c:v>1.984375</c:v>
                </c:pt>
                <c:pt idx="4">
                  <c:v>2.7781250000000002</c:v>
                </c:pt>
                <c:pt idx="5">
                  <c:v>3.5718749999999999</c:v>
                </c:pt>
                <c:pt idx="6">
                  <c:v>4.3656249999999996</c:v>
                </c:pt>
                <c:pt idx="7">
                  <c:v>5.1593749999999998</c:v>
                </c:pt>
                <c:pt idx="8">
                  <c:v>5.953125</c:v>
                </c:pt>
                <c:pt idx="9">
                  <c:v>6.35</c:v>
                </c:pt>
              </c:numCache>
            </c:numRef>
          </c:yVal>
          <c:smooth val="0"/>
          <c:extLst xmlns:c16r2="http://schemas.microsoft.com/office/drawing/2015/06/chart">
            <c:ext xmlns:c16="http://schemas.microsoft.com/office/drawing/2014/chart" uri="{C3380CC4-5D6E-409C-BE32-E72D297353CC}">
              <c16:uniqueId val="{00000000-FD1F-4B70-9D87-12CAE95793F9}"/>
            </c:ext>
          </c:extLst>
        </c:ser>
        <c:ser>
          <c:idx val="0"/>
          <c:order val="1"/>
          <c:tx>
            <c:v>Cone-</c:v>
          </c:tx>
          <c:spPr>
            <a:ln w="19050" cap="rnd">
              <a:solidFill>
                <a:schemeClr val="accent1"/>
              </a:solidFill>
              <a:round/>
            </a:ln>
            <a:effectLst/>
          </c:spPr>
          <c:marker>
            <c:symbol val="none"/>
          </c:marker>
          <c:xVal>
            <c:numRef>
              <c:f>Geometry!$H$13:$H$22</c:f>
              <c:numCache>
                <c:formatCode>General</c:formatCode>
                <c:ptCount val="10"/>
                <c:pt idx="0">
                  <c:v>0</c:v>
                </c:pt>
                <c:pt idx="1">
                  <c:v>1.875</c:v>
                </c:pt>
                <c:pt idx="2">
                  <c:v>5.625</c:v>
                </c:pt>
                <c:pt idx="3">
                  <c:v>9.375</c:v>
                </c:pt>
                <c:pt idx="4">
                  <c:v>13.125</c:v>
                </c:pt>
                <c:pt idx="5">
                  <c:v>16.875</c:v>
                </c:pt>
                <c:pt idx="6">
                  <c:v>20.625</c:v>
                </c:pt>
                <c:pt idx="7">
                  <c:v>24.375</c:v>
                </c:pt>
                <c:pt idx="8">
                  <c:v>28.125</c:v>
                </c:pt>
                <c:pt idx="9">
                  <c:v>30</c:v>
                </c:pt>
              </c:numCache>
            </c:numRef>
          </c:xVal>
          <c:yVal>
            <c:numRef>
              <c:f>Geometry!$J$13:$J$22</c:f>
              <c:numCache>
                <c:formatCode>General</c:formatCode>
                <c:ptCount val="10"/>
                <c:pt idx="0">
                  <c:v>0</c:v>
                </c:pt>
                <c:pt idx="1">
                  <c:v>-0.39687499999999998</c:v>
                </c:pt>
                <c:pt idx="2">
                  <c:v>-1.190625</c:v>
                </c:pt>
                <c:pt idx="3">
                  <c:v>-1.984375</c:v>
                </c:pt>
                <c:pt idx="4">
                  <c:v>-2.7781250000000002</c:v>
                </c:pt>
                <c:pt idx="5">
                  <c:v>-3.5718749999999999</c:v>
                </c:pt>
                <c:pt idx="6">
                  <c:v>-4.3656249999999996</c:v>
                </c:pt>
                <c:pt idx="7">
                  <c:v>-5.1593749999999998</c:v>
                </c:pt>
                <c:pt idx="8">
                  <c:v>-5.953125</c:v>
                </c:pt>
                <c:pt idx="9">
                  <c:v>-6.35</c:v>
                </c:pt>
              </c:numCache>
            </c:numRef>
          </c:yVal>
          <c:smooth val="0"/>
          <c:extLst xmlns:c16r2="http://schemas.microsoft.com/office/drawing/2015/06/chart">
            <c:ext xmlns:c16="http://schemas.microsoft.com/office/drawing/2014/chart" uri="{C3380CC4-5D6E-409C-BE32-E72D297353CC}">
              <c16:uniqueId val="{00000001-FD1F-4B70-9D87-12CAE95793F9}"/>
            </c:ext>
          </c:extLst>
        </c:ser>
        <c:ser>
          <c:idx val="2"/>
          <c:order val="2"/>
          <c:tx>
            <c:v>RT+</c:v>
          </c:tx>
          <c:spPr>
            <a:ln w="19050" cap="rnd">
              <a:solidFill>
                <a:schemeClr val="tx1"/>
              </a:solidFill>
              <a:round/>
            </a:ln>
            <a:effectLst/>
          </c:spPr>
          <c:marker>
            <c:symbol val="none"/>
          </c:marker>
          <c:xVal>
            <c:numRef>
              <c:f>Geometry!$H$31:$H$40</c:f>
              <c:numCache>
                <c:formatCode>0.0</c:formatCode>
                <c:ptCount val="10"/>
                <c:pt idx="0" formatCode="General">
                  <c:v>30</c:v>
                </c:pt>
                <c:pt idx="1">
                  <c:v>36.25</c:v>
                </c:pt>
                <c:pt idx="2">
                  <c:v>48.75</c:v>
                </c:pt>
                <c:pt idx="3">
                  <c:v>61.25</c:v>
                </c:pt>
                <c:pt idx="4">
                  <c:v>73.75</c:v>
                </c:pt>
                <c:pt idx="5">
                  <c:v>86.25</c:v>
                </c:pt>
                <c:pt idx="6">
                  <c:v>98.75</c:v>
                </c:pt>
                <c:pt idx="7">
                  <c:v>111.25</c:v>
                </c:pt>
                <c:pt idx="8">
                  <c:v>123.75</c:v>
                </c:pt>
                <c:pt idx="9">
                  <c:v>130</c:v>
                </c:pt>
              </c:numCache>
            </c:numRef>
          </c:xVal>
          <c:yVal>
            <c:numRef>
              <c:f>Geometry!$I$31:$I$40</c:f>
              <c:numCache>
                <c:formatCode>General</c:formatCode>
                <c:ptCount val="10"/>
                <c:pt idx="0">
                  <c:v>6.35</c:v>
                </c:pt>
                <c:pt idx="1">
                  <c:v>6.35</c:v>
                </c:pt>
                <c:pt idx="2">
                  <c:v>6.35</c:v>
                </c:pt>
                <c:pt idx="3">
                  <c:v>6.35</c:v>
                </c:pt>
                <c:pt idx="4">
                  <c:v>6.35</c:v>
                </c:pt>
                <c:pt idx="5">
                  <c:v>6.35</c:v>
                </c:pt>
                <c:pt idx="6">
                  <c:v>6.35</c:v>
                </c:pt>
                <c:pt idx="7">
                  <c:v>6.35</c:v>
                </c:pt>
                <c:pt idx="8">
                  <c:v>6.35</c:v>
                </c:pt>
                <c:pt idx="9">
                  <c:v>6.35</c:v>
                </c:pt>
              </c:numCache>
            </c:numRef>
          </c:yVal>
          <c:smooth val="0"/>
          <c:extLst xmlns:c16r2="http://schemas.microsoft.com/office/drawing/2015/06/chart">
            <c:ext xmlns:c16="http://schemas.microsoft.com/office/drawing/2014/chart" uri="{C3380CC4-5D6E-409C-BE32-E72D297353CC}">
              <c16:uniqueId val="{00000002-FD1F-4B70-9D87-12CAE95793F9}"/>
            </c:ext>
          </c:extLst>
        </c:ser>
        <c:ser>
          <c:idx val="3"/>
          <c:order val="3"/>
          <c:tx>
            <c:v>RT-</c:v>
          </c:tx>
          <c:spPr>
            <a:ln w="19050" cap="rnd">
              <a:solidFill>
                <a:schemeClr val="tx1"/>
              </a:solidFill>
              <a:round/>
            </a:ln>
            <a:effectLst/>
          </c:spPr>
          <c:marker>
            <c:symbol val="none"/>
          </c:marker>
          <c:xVal>
            <c:numRef>
              <c:f>Geometry!$H$31:$H$40</c:f>
              <c:numCache>
                <c:formatCode>0.0</c:formatCode>
                <c:ptCount val="10"/>
                <c:pt idx="0" formatCode="General">
                  <c:v>30</c:v>
                </c:pt>
                <c:pt idx="1">
                  <c:v>36.25</c:v>
                </c:pt>
                <c:pt idx="2">
                  <c:v>48.75</c:v>
                </c:pt>
                <c:pt idx="3">
                  <c:v>61.25</c:v>
                </c:pt>
                <c:pt idx="4">
                  <c:v>73.75</c:v>
                </c:pt>
                <c:pt idx="5">
                  <c:v>86.25</c:v>
                </c:pt>
                <c:pt idx="6">
                  <c:v>98.75</c:v>
                </c:pt>
                <c:pt idx="7">
                  <c:v>111.25</c:v>
                </c:pt>
                <c:pt idx="8">
                  <c:v>123.75</c:v>
                </c:pt>
                <c:pt idx="9">
                  <c:v>130</c:v>
                </c:pt>
              </c:numCache>
            </c:numRef>
          </c:xVal>
          <c:yVal>
            <c:numRef>
              <c:f>Geometry!$J$31:$J$40</c:f>
              <c:numCache>
                <c:formatCode>General</c:formatCode>
                <c:ptCount val="10"/>
                <c:pt idx="0">
                  <c:v>-6.35</c:v>
                </c:pt>
                <c:pt idx="1">
                  <c:v>-6.35</c:v>
                </c:pt>
                <c:pt idx="2">
                  <c:v>-6.35</c:v>
                </c:pt>
                <c:pt idx="3">
                  <c:v>-6.35</c:v>
                </c:pt>
                <c:pt idx="4">
                  <c:v>-6.35</c:v>
                </c:pt>
                <c:pt idx="5">
                  <c:v>-6.35</c:v>
                </c:pt>
                <c:pt idx="6">
                  <c:v>-6.35</c:v>
                </c:pt>
                <c:pt idx="7">
                  <c:v>-6.35</c:v>
                </c:pt>
                <c:pt idx="8">
                  <c:v>-6.35</c:v>
                </c:pt>
                <c:pt idx="9">
                  <c:v>-6.35</c:v>
                </c:pt>
              </c:numCache>
            </c:numRef>
          </c:yVal>
          <c:smooth val="0"/>
          <c:extLst xmlns:c16r2="http://schemas.microsoft.com/office/drawing/2015/06/chart">
            <c:ext xmlns:c16="http://schemas.microsoft.com/office/drawing/2014/chart" uri="{C3380CC4-5D6E-409C-BE32-E72D297353CC}">
              <c16:uniqueId val="{00000003-FD1F-4B70-9D87-12CAE95793F9}"/>
            </c:ext>
          </c:extLst>
        </c:ser>
        <c:ser>
          <c:idx val="4"/>
          <c:order val="4"/>
          <c:tx>
            <c:v>FUP</c:v>
          </c:tx>
          <c:spPr>
            <a:ln w="19050" cap="rnd">
              <a:solidFill>
                <a:schemeClr val="accent1"/>
              </a:solidFill>
              <a:round/>
            </a:ln>
            <a:effectLst/>
          </c:spPr>
          <c:marker>
            <c:symbol val="none"/>
          </c:marker>
          <c:xVal>
            <c:numRef>
              <c:f>Geometry!$H$50:$H$59</c:f>
              <c:numCache>
                <c:formatCode>0.000</c:formatCode>
                <c:ptCount val="10"/>
                <c:pt idx="0">
                  <c:v>110</c:v>
                </c:pt>
                <c:pt idx="1">
                  <c:v>110.9375</c:v>
                </c:pt>
                <c:pt idx="2">
                  <c:v>112.8125</c:v>
                </c:pt>
                <c:pt idx="3">
                  <c:v>114.6875</c:v>
                </c:pt>
                <c:pt idx="4">
                  <c:v>116.5625</c:v>
                </c:pt>
                <c:pt idx="5">
                  <c:v>118.4375</c:v>
                </c:pt>
                <c:pt idx="6">
                  <c:v>120.3125</c:v>
                </c:pt>
                <c:pt idx="7">
                  <c:v>122.1875</c:v>
                </c:pt>
                <c:pt idx="8">
                  <c:v>125</c:v>
                </c:pt>
                <c:pt idx="9">
                  <c:v>125</c:v>
                </c:pt>
              </c:numCache>
            </c:numRef>
          </c:xVal>
          <c:yVal>
            <c:numRef>
              <c:f>Geometry!$I$50:$I$59</c:f>
              <c:numCache>
                <c:formatCode>0.000</c:formatCode>
                <c:ptCount val="10"/>
                <c:pt idx="0">
                  <c:v>6.35</c:v>
                </c:pt>
                <c:pt idx="1">
                  <c:v>10.1</c:v>
                </c:pt>
                <c:pt idx="2">
                  <c:v>17.600000000000001</c:v>
                </c:pt>
                <c:pt idx="3">
                  <c:v>25.1</c:v>
                </c:pt>
                <c:pt idx="4">
                  <c:v>26.35</c:v>
                </c:pt>
                <c:pt idx="5">
                  <c:v>26.35</c:v>
                </c:pt>
                <c:pt idx="6">
                  <c:v>26.35</c:v>
                </c:pt>
                <c:pt idx="7">
                  <c:v>26.35</c:v>
                </c:pt>
                <c:pt idx="8">
                  <c:v>26.35</c:v>
                </c:pt>
                <c:pt idx="9">
                  <c:v>6.35</c:v>
                </c:pt>
              </c:numCache>
            </c:numRef>
          </c:yVal>
          <c:smooth val="0"/>
          <c:extLst xmlns:c16r2="http://schemas.microsoft.com/office/drawing/2015/06/chart">
            <c:ext xmlns:c16="http://schemas.microsoft.com/office/drawing/2014/chart" uri="{C3380CC4-5D6E-409C-BE32-E72D297353CC}">
              <c16:uniqueId val="{00000004-FD1F-4B70-9D87-12CAE95793F9}"/>
            </c:ext>
          </c:extLst>
        </c:ser>
        <c:ser>
          <c:idx val="5"/>
          <c:order val="5"/>
          <c:tx>
            <c:v>FDN</c:v>
          </c:tx>
          <c:spPr>
            <a:ln w="19050" cap="rnd">
              <a:solidFill>
                <a:schemeClr val="accent1"/>
              </a:solidFill>
              <a:round/>
            </a:ln>
            <a:effectLst/>
          </c:spPr>
          <c:marker>
            <c:symbol val="none"/>
          </c:marker>
          <c:xVal>
            <c:numRef>
              <c:f>Geometry!$H$50:$H$59</c:f>
              <c:numCache>
                <c:formatCode>0.000</c:formatCode>
                <c:ptCount val="10"/>
                <c:pt idx="0">
                  <c:v>110</c:v>
                </c:pt>
                <c:pt idx="1">
                  <c:v>110.9375</c:v>
                </c:pt>
                <c:pt idx="2">
                  <c:v>112.8125</c:v>
                </c:pt>
                <c:pt idx="3">
                  <c:v>114.6875</c:v>
                </c:pt>
                <c:pt idx="4">
                  <c:v>116.5625</c:v>
                </c:pt>
                <c:pt idx="5">
                  <c:v>118.4375</c:v>
                </c:pt>
                <c:pt idx="6">
                  <c:v>120.3125</c:v>
                </c:pt>
                <c:pt idx="7">
                  <c:v>122.1875</c:v>
                </c:pt>
                <c:pt idx="8">
                  <c:v>125</c:v>
                </c:pt>
                <c:pt idx="9">
                  <c:v>125</c:v>
                </c:pt>
              </c:numCache>
            </c:numRef>
          </c:xVal>
          <c:yVal>
            <c:numRef>
              <c:f>Geometry!$J$50:$J$59</c:f>
              <c:numCache>
                <c:formatCode>0.000</c:formatCode>
                <c:ptCount val="10"/>
                <c:pt idx="0">
                  <c:v>-6.35</c:v>
                </c:pt>
                <c:pt idx="1">
                  <c:v>-10.1</c:v>
                </c:pt>
                <c:pt idx="2">
                  <c:v>-17.600000000000001</c:v>
                </c:pt>
                <c:pt idx="3">
                  <c:v>-25.1</c:v>
                </c:pt>
                <c:pt idx="4">
                  <c:v>-26.35</c:v>
                </c:pt>
                <c:pt idx="5">
                  <c:v>-26.35</c:v>
                </c:pt>
                <c:pt idx="6">
                  <c:v>-26.35</c:v>
                </c:pt>
                <c:pt idx="7">
                  <c:v>-26.35</c:v>
                </c:pt>
                <c:pt idx="8">
                  <c:v>-26.35</c:v>
                </c:pt>
                <c:pt idx="9">
                  <c:v>-6.35</c:v>
                </c:pt>
              </c:numCache>
            </c:numRef>
          </c:yVal>
          <c:smooth val="0"/>
          <c:extLst xmlns:c16r2="http://schemas.microsoft.com/office/drawing/2015/06/chart">
            <c:ext xmlns:c16="http://schemas.microsoft.com/office/drawing/2014/chart" uri="{C3380CC4-5D6E-409C-BE32-E72D297353CC}">
              <c16:uniqueId val="{00000005-FD1F-4B70-9D87-12CAE95793F9}"/>
            </c:ext>
          </c:extLst>
        </c:ser>
        <c:ser>
          <c:idx val="6"/>
          <c:order val="6"/>
          <c:tx>
            <c:v>BT+</c:v>
          </c:tx>
          <c:spPr>
            <a:ln w="19050" cap="rnd">
              <a:solidFill>
                <a:schemeClr val="tx2"/>
              </a:solidFill>
              <a:round/>
            </a:ln>
            <a:effectLst/>
          </c:spPr>
          <c:marker>
            <c:symbol val="none"/>
          </c:marker>
          <c:xVal>
            <c:numRef>
              <c:f>Geometry!$H$88:$H$98</c:f>
              <c:numCache>
                <c:formatCode>0.00</c:formatCode>
                <c:ptCount val="11"/>
                <c:pt idx="0">
                  <c:v>130</c:v>
                </c:pt>
                <c:pt idx="1">
                  <c:v>130.5</c:v>
                </c:pt>
                <c:pt idx="2">
                  <c:v>131.5</c:v>
                </c:pt>
                <c:pt idx="3">
                  <c:v>132.5</c:v>
                </c:pt>
                <c:pt idx="4">
                  <c:v>133.5</c:v>
                </c:pt>
                <c:pt idx="5">
                  <c:v>134.5</c:v>
                </c:pt>
                <c:pt idx="6">
                  <c:v>135.5</c:v>
                </c:pt>
                <c:pt idx="7">
                  <c:v>136.5</c:v>
                </c:pt>
                <c:pt idx="8">
                  <c:v>137.5</c:v>
                </c:pt>
                <c:pt idx="9">
                  <c:v>138</c:v>
                </c:pt>
                <c:pt idx="10">
                  <c:v>138</c:v>
                </c:pt>
              </c:numCache>
            </c:numRef>
          </c:xVal>
          <c:yVal>
            <c:numRef>
              <c:f>Geometry!$I$88:$I$98</c:f>
              <c:numCache>
                <c:formatCode>0.00</c:formatCode>
                <c:ptCount val="11"/>
                <c:pt idx="0">
                  <c:v>6.35</c:v>
                </c:pt>
                <c:pt idx="1">
                  <c:v>6.09375</c:v>
                </c:pt>
                <c:pt idx="2">
                  <c:v>5.5812499999999998</c:v>
                </c:pt>
                <c:pt idx="3">
                  <c:v>5.0687499999999996</c:v>
                </c:pt>
                <c:pt idx="4">
                  <c:v>4.5562500000000004</c:v>
                </c:pt>
                <c:pt idx="5">
                  <c:v>4.0437499999999993</c:v>
                </c:pt>
                <c:pt idx="6">
                  <c:v>3.53125</c:v>
                </c:pt>
                <c:pt idx="7">
                  <c:v>3.0187499999999998</c:v>
                </c:pt>
                <c:pt idx="8">
                  <c:v>2.5062500000000001</c:v>
                </c:pt>
                <c:pt idx="9">
                  <c:v>2.25</c:v>
                </c:pt>
                <c:pt idx="10" formatCode="General">
                  <c:v>0</c:v>
                </c:pt>
              </c:numCache>
            </c:numRef>
          </c:yVal>
          <c:smooth val="0"/>
          <c:extLst xmlns:c16r2="http://schemas.microsoft.com/office/drawing/2015/06/chart">
            <c:ext xmlns:c16="http://schemas.microsoft.com/office/drawing/2014/chart" uri="{C3380CC4-5D6E-409C-BE32-E72D297353CC}">
              <c16:uniqueId val="{00000006-FD1F-4B70-9D87-12CAE95793F9}"/>
            </c:ext>
          </c:extLst>
        </c:ser>
        <c:ser>
          <c:idx val="7"/>
          <c:order val="7"/>
          <c:tx>
            <c:v>BT-</c:v>
          </c:tx>
          <c:spPr>
            <a:ln w="19050" cap="rnd">
              <a:solidFill>
                <a:schemeClr val="tx2"/>
              </a:solidFill>
              <a:round/>
            </a:ln>
            <a:effectLst/>
          </c:spPr>
          <c:marker>
            <c:symbol val="none"/>
          </c:marker>
          <c:xVal>
            <c:numRef>
              <c:f>Geometry!$H$88:$H$98</c:f>
              <c:numCache>
                <c:formatCode>0.00</c:formatCode>
                <c:ptCount val="11"/>
                <c:pt idx="0">
                  <c:v>130</c:v>
                </c:pt>
                <c:pt idx="1">
                  <c:v>130.5</c:v>
                </c:pt>
                <c:pt idx="2">
                  <c:v>131.5</c:v>
                </c:pt>
                <c:pt idx="3">
                  <c:v>132.5</c:v>
                </c:pt>
                <c:pt idx="4">
                  <c:v>133.5</c:v>
                </c:pt>
                <c:pt idx="5">
                  <c:v>134.5</c:v>
                </c:pt>
                <c:pt idx="6">
                  <c:v>135.5</c:v>
                </c:pt>
                <c:pt idx="7">
                  <c:v>136.5</c:v>
                </c:pt>
                <c:pt idx="8">
                  <c:v>137.5</c:v>
                </c:pt>
                <c:pt idx="9">
                  <c:v>138</c:v>
                </c:pt>
                <c:pt idx="10">
                  <c:v>138</c:v>
                </c:pt>
              </c:numCache>
            </c:numRef>
          </c:xVal>
          <c:yVal>
            <c:numRef>
              <c:f>Geometry!$J$88:$J$98</c:f>
              <c:numCache>
                <c:formatCode>0.00</c:formatCode>
                <c:ptCount val="11"/>
                <c:pt idx="0">
                  <c:v>-6.35</c:v>
                </c:pt>
                <c:pt idx="1">
                  <c:v>-6.09375</c:v>
                </c:pt>
                <c:pt idx="2">
                  <c:v>-5.5812499999999998</c:v>
                </c:pt>
                <c:pt idx="3">
                  <c:v>-5.0687499999999996</c:v>
                </c:pt>
                <c:pt idx="4">
                  <c:v>-4.5562500000000004</c:v>
                </c:pt>
                <c:pt idx="5">
                  <c:v>-4.0437499999999993</c:v>
                </c:pt>
                <c:pt idx="6">
                  <c:v>-3.53125</c:v>
                </c:pt>
                <c:pt idx="7">
                  <c:v>-3.0187499999999998</c:v>
                </c:pt>
                <c:pt idx="8">
                  <c:v>-2.5062500000000001</c:v>
                </c:pt>
                <c:pt idx="9">
                  <c:v>-2.25</c:v>
                </c:pt>
                <c:pt idx="10" formatCode="General">
                  <c:v>0</c:v>
                </c:pt>
              </c:numCache>
            </c:numRef>
          </c:yVal>
          <c:smooth val="0"/>
          <c:extLst xmlns:c16r2="http://schemas.microsoft.com/office/drawing/2015/06/chart">
            <c:ext xmlns:c16="http://schemas.microsoft.com/office/drawing/2014/chart" uri="{C3380CC4-5D6E-409C-BE32-E72D297353CC}">
              <c16:uniqueId val="{00000007-FD1F-4B70-9D87-12CAE95793F9}"/>
            </c:ext>
          </c:extLst>
        </c:ser>
        <c:ser>
          <c:idx val="8"/>
          <c:order val="8"/>
          <c:tx>
            <c:v>CG</c:v>
          </c:tx>
          <c:spPr>
            <a:ln w="25400" cap="rnd">
              <a:noFill/>
              <a:round/>
            </a:ln>
            <a:effectLst/>
          </c:spPr>
          <c:marker>
            <c:symbol val="circle"/>
            <c:size val="5"/>
            <c:spPr>
              <a:solidFill>
                <a:srgbClr val="FFFF00"/>
              </a:solidFill>
              <a:ln w="22225">
                <a:solidFill>
                  <a:schemeClr val="accent1">
                    <a:shade val="55000"/>
                  </a:schemeClr>
                </a:solidFill>
              </a:ln>
              <a:effectLst/>
            </c:spPr>
          </c:marker>
          <c:xVal>
            <c:numRef>
              <c:f>'Forces balance'!$D$17:$D$28</c:f>
              <c:numCache>
                <c:formatCode>General</c:formatCode>
                <c:ptCount val="12"/>
                <c:pt idx="0">
                  <c:v>20</c:v>
                </c:pt>
                <c:pt idx="1">
                  <c:v>80</c:v>
                </c:pt>
                <c:pt idx="2">
                  <c:v>120</c:v>
                </c:pt>
                <c:pt idx="3">
                  <c:v>120</c:v>
                </c:pt>
                <c:pt idx="4">
                  <c:v>120</c:v>
                </c:pt>
                <c:pt idx="5">
                  <c:v>120</c:v>
                </c:pt>
                <c:pt idx="6">
                  <c:v>0</c:v>
                </c:pt>
                <c:pt idx="7">
                  <c:v>40</c:v>
                </c:pt>
                <c:pt idx="8">
                  <c:v>60</c:v>
                </c:pt>
                <c:pt idx="9">
                  <c:v>120</c:v>
                </c:pt>
                <c:pt idx="10">
                  <c:v>25</c:v>
                </c:pt>
                <c:pt idx="11" formatCode="0.000">
                  <c:v>58.959825599501713</c:v>
                </c:pt>
              </c:numCache>
            </c:numRef>
          </c:xVal>
          <c:yVal>
            <c:numRef>
              <c:f>'Forces balance'!$E$17:$E$28</c:f>
              <c:numCache>
                <c:formatCode>General</c:formatCode>
                <c:ptCount val="12"/>
                <c:pt idx="0">
                  <c:v>0</c:v>
                </c:pt>
                <c:pt idx="1">
                  <c:v>0</c:v>
                </c:pt>
                <c:pt idx="2">
                  <c:v>6</c:v>
                </c:pt>
                <c:pt idx="3">
                  <c:v>-6</c:v>
                </c:pt>
                <c:pt idx="4">
                  <c:v>0</c:v>
                </c:pt>
                <c:pt idx="5">
                  <c:v>0</c:v>
                </c:pt>
                <c:pt idx="6">
                  <c:v>0</c:v>
                </c:pt>
                <c:pt idx="7">
                  <c:v>1</c:v>
                </c:pt>
                <c:pt idx="8">
                  <c:v>1.6</c:v>
                </c:pt>
                <c:pt idx="9">
                  <c:v>0</c:v>
                </c:pt>
                <c:pt idx="10">
                  <c:v>0</c:v>
                </c:pt>
                <c:pt idx="11" formatCode="0.000">
                  <c:v>0.40485829959514169</c:v>
                </c:pt>
              </c:numCache>
            </c:numRef>
          </c:yVal>
          <c:smooth val="0"/>
          <c:extLst xmlns:c16r2="http://schemas.microsoft.com/office/drawing/2015/06/chart">
            <c:ext xmlns:c16="http://schemas.microsoft.com/office/drawing/2014/chart" uri="{C3380CC4-5D6E-409C-BE32-E72D297353CC}">
              <c16:uniqueId val="{00000008-FD1F-4B70-9D87-12CAE95793F9}"/>
            </c:ext>
          </c:extLst>
        </c:ser>
        <c:ser>
          <c:idx val="9"/>
          <c:order val="9"/>
          <c:tx>
            <c:v>RocketCG</c:v>
          </c:tx>
          <c:spPr>
            <a:ln w="25400" cap="rnd">
              <a:solidFill>
                <a:srgbClr val="FFFF00"/>
              </a:solidFill>
              <a:round/>
            </a:ln>
            <a:effectLst/>
          </c:spPr>
          <c:marker>
            <c:symbol val="square"/>
            <c:size val="5"/>
            <c:spPr>
              <a:solidFill>
                <a:srgbClr val="FFFF00"/>
              </a:solidFill>
              <a:ln w="66675">
                <a:solidFill>
                  <a:schemeClr val="tx1"/>
                </a:solidFill>
              </a:ln>
              <a:effectLst/>
            </c:spPr>
          </c:marker>
          <c:xVal>
            <c:numRef>
              <c:f>'Forces balance'!$D$28</c:f>
              <c:numCache>
                <c:formatCode>0.000</c:formatCode>
                <c:ptCount val="1"/>
                <c:pt idx="0">
                  <c:v>58.959825599501713</c:v>
                </c:pt>
              </c:numCache>
            </c:numRef>
          </c:xVal>
          <c:yVal>
            <c:numRef>
              <c:f>'Forces balance'!$E$28</c:f>
              <c:numCache>
                <c:formatCode>0.000</c:formatCode>
                <c:ptCount val="1"/>
                <c:pt idx="0">
                  <c:v>0.40485829959514169</c:v>
                </c:pt>
              </c:numCache>
            </c:numRef>
          </c:yVal>
          <c:smooth val="0"/>
          <c:extLst xmlns:c16r2="http://schemas.microsoft.com/office/drawing/2015/06/chart">
            <c:ext xmlns:c16="http://schemas.microsoft.com/office/drawing/2014/chart" uri="{C3380CC4-5D6E-409C-BE32-E72D297353CC}">
              <c16:uniqueId val="{00000009-FD1F-4B70-9D87-12CAE95793F9}"/>
            </c:ext>
          </c:extLst>
        </c:ser>
        <c:dLbls>
          <c:showLegendKey val="0"/>
          <c:showVal val="0"/>
          <c:showCatName val="0"/>
          <c:showSerName val="0"/>
          <c:showPercent val="0"/>
          <c:showBubbleSize val="0"/>
        </c:dLbls>
        <c:axId val="424938416"/>
        <c:axId val="424948752"/>
      </c:scatterChart>
      <c:valAx>
        <c:axId val="424938416"/>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x-axis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24948752"/>
        <c:crosses val="autoZero"/>
        <c:crossBetween val="midCat"/>
      </c:valAx>
      <c:valAx>
        <c:axId val="42494875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y-axis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24938416"/>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Geometry x-z</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v>Cone+</c:v>
          </c:tx>
          <c:spPr>
            <a:ln w="19050" cap="rnd">
              <a:solidFill>
                <a:schemeClr val="accent1"/>
              </a:solidFill>
              <a:round/>
            </a:ln>
            <a:effectLst/>
          </c:spPr>
          <c:marker>
            <c:symbol val="none"/>
          </c:marker>
          <c:xVal>
            <c:numRef>
              <c:f>Geometry!$H$13:$H$22</c:f>
              <c:numCache>
                <c:formatCode>General</c:formatCode>
                <c:ptCount val="10"/>
                <c:pt idx="0">
                  <c:v>0</c:v>
                </c:pt>
                <c:pt idx="1">
                  <c:v>1.875</c:v>
                </c:pt>
                <c:pt idx="2">
                  <c:v>5.625</c:v>
                </c:pt>
                <c:pt idx="3">
                  <c:v>9.375</c:v>
                </c:pt>
                <c:pt idx="4">
                  <c:v>13.125</c:v>
                </c:pt>
                <c:pt idx="5">
                  <c:v>16.875</c:v>
                </c:pt>
                <c:pt idx="6">
                  <c:v>20.625</c:v>
                </c:pt>
                <c:pt idx="7">
                  <c:v>24.375</c:v>
                </c:pt>
                <c:pt idx="8">
                  <c:v>28.125</c:v>
                </c:pt>
                <c:pt idx="9">
                  <c:v>30</c:v>
                </c:pt>
              </c:numCache>
            </c:numRef>
          </c:xVal>
          <c:yVal>
            <c:numRef>
              <c:f>Geometry!$I$13:$I$22</c:f>
              <c:numCache>
                <c:formatCode>General</c:formatCode>
                <c:ptCount val="10"/>
                <c:pt idx="0">
                  <c:v>0</c:v>
                </c:pt>
                <c:pt idx="1">
                  <c:v>0.39687499999999998</c:v>
                </c:pt>
                <c:pt idx="2">
                  <c:v>1.190625</c:v>
                </c:pt>
                <c:pt idx="3">
                  <c:v>1.984375</c:v>
                </c:pt>
                <c:pt idx="4">
                  <c:v>2.7781250000000002</c:v>
                </c:pt>
                <c:pt idx="5">
                  <c:v>3.5718749999999999</c:v>
                </c:pt>
                <c:pt idx="6">
                  <c:v>4.3656249999999996</c:v>
                </c:pt>
                <c:pt idx="7">
                  <c:v>5.1593749999999998</c:v>
                </c:pt>
                <c:pt idx="8">
                  <c:v>5.953125</c:v>
                </c:pt>
                <c:pt idx="9">
                  <c:v>6.35</c:v>
                </c:pt>
              </c:numCache>
            </c:numRef>
          </c:yVal>
          <c:smooth val="0"/>
          <c:extLst xmlns:c16r2="http://schemas.microsoft.com/office/drawing/2015/06/chart">
            <c:ext xmlns:c16="http://schemas.microsoft.com/office/drawing/2014/chart" uri="{C3380CC4-5D6E-409C-BE32-E72D297353CC}">
              <c16:uniqueId val="{00000000-0F12-4686-BBBE-06C2AAA143DE}"/>
            </c:ext>
          </c:extLst>
        </c:ser>
        <c:ser>
          <c:idx val="0"/>
          <c:order val="1"/>
          <c:tx>
            <c:v>Cone-</c:v>
          </c:tx>
          <c:spPr>
            <a:ln w="19050" cap="rnd">
              <a:solidFill>
                <a:schemeClr val="accent1"/>
              </a:solidFill>
              <a:round/>
            </a:ln>
            <a:effectLst/>
          </c:spPr>
          <c:marker>
            <c:symbol val="none"/>
          </c:marker>
          <c:xVal>
            <c:numRef>
              <c:f>Geometry!$H$13:$H$22</c:f>
              <c:numCache>
                <c:formatCode>General</c:formatCode>
                <c:ptCount val="10"/>
                <c:pt idx="0">
                  <c:v>0</c:v>
                </c:pt>
                <c:pt idx="1">
                  <c:v>1.875</c:v>
                </c:pt>
                <c:pt idx="2">
                  <c:v>5.625</c:v>
                </c:pt>
                <c:pt idx="3">
                  <c:v>9.375</c:v>
                </c:pt>
                <c:pt idx="4">
                  <c:v>13.125</c:v>
                </c:pt>
                <c:pt idx="5">
                  <c:v>16.875</c:v>
                </c:pt>
                <c:pt idx="6">
                  <c:v>20.625</c:v>
                </c:pt>
                <c:pt idx="7">
                  <c:v>24.375</c:v>
                </c:pt>
                <c:pt idx="8">
                  <c:v>28.125</c:v>
                </c:pt>
                <c:pt idx="9">
                  <c:v>30</c:v>
                </c:pt>
              </c:numCache>
            </c:numRef>
          </c:xVal>
          <c:yVal>
            <c:numRef>
              <c:f>Geometry!$J$13:$J$22</c:f>
              <c:numCache>
                <c:formatCode>General</c:formatCode>
                <c:ptCount val="10"/>
                <c:pt idx="0">
                  <c:v>0</c:v>
                </c:pt>
                <c:pt idx="1">
                  <c:v>-0.39687499999999998</c:v>
                </c:pt>
                <c:pt idx="2">
                  <c:v>-1.190625</c:v>
                </c:pt>
                <c:pt idx="3">
                  <c:v>-1.984375</c:v>
                </c:pt>
                <c:pt idx="4">
                  <c:v>-2.7781250000000002</c:v>
                </c:pt>
                <c:pt idx="5">
                  <c:v>-3.5718749999999999</c:v>
                </c:pt>
                <c:pt idx="6">
                  <c:v>-4.3656249999999996</c:v>
                </c:pt>
                <c:pt idx="7">
                  <c:v>-5.1593749999999998</c:v>
                </c:pt>
                <c:pt idx="8">
                  <c:v>-5.953125</c:v>
                </c:pt>
                <c:pt idx="9">
                  <c:v>-6.35</c:v>
                </c:pt>
              </c:numCache>
            </c:numRef>
          </c:yVal>
          <c:smooth val="0"/>
          <c:extLst xmlns:c16r2="http://schemas.microsoft.com/office/drawing/2015/06/chart">
            <c:ext xmlns:c16="http://schemas.microsoft.com/office/drawing/2014/chart" uri="{C3380CC4-5D6E-409C-BE32-E72D297353CC}">
              <c16:uniqueId val="{00000001-0F12-4686-BBBE-06C2AAA143DE}"/>
            </c:ext>
          </c:extLst>
        </c:ser>
        <c:ser>
          <c:idx val="2"/>
          <c:order val="2"/>
          <c:tx>
            <c:v>RT+</c:v>
          </c:tx>
          <c:spPr>
            <a:ln w="19050" cap="rnd">
              <a:solidFill>
                <a:schemeClr val="tx1"/>
              </a:solidFill>
              <a:round/>
            </a:ln>
            <a:effectLst/>
          </c:spPr>
          <c:marker>
            <c:symbol val="none"/>
          </c:marker>
          <c:xVal>
            <c:numRef>
              <c:f>Geometry!$H$31:$H$40</c:f>
              <c:numCache>
                <c:formatCode>0.0</c:formatCode>
                <c:ptCount val="10"/>
                <c:pt idx="0" formatCode="General">
                  <c:v>30</c:v>
                </c:pt>
                <c:pt idx="1">
                  <c:v>36.25</c:v>
                </c:pt>
                <c:pt idx="2">
                  <c:v>48.75</c:v>
                </c:pt>
                <c:pt idx="3">
                  <c:v>61.25</c:v>
                </c:pt>
                <c:pt idx="4">
                  <c:v>73.75</c:v>
                </c:pt>
                <c:pt idx="5">
                  <c:v>86.25</c:v>
                </c:pt>
                <c:pt idx="6">
                  <c:v>98.75</c:v>
                </c:pt>
                <c:pt idx="7">
                  <c:v>111.25</c:v>
                </c:pt>
                <c:pt idx="8">
                  <c:v>123.75</c:v>
                </c:pt>
                <c:pt idx="9">
                  <c:v>130</c:v>
                </c:pt>
              </c:numCache>
            </c:numRef>
          </c:xVal>
          <c:yVal>
            <c:numRef>
              <c:f>Geometry!$I$31:$I$40</c:f>
              <c:numCache>
                <c:formatCode>General</c:formatCode>
                <c:ptCount val="10"/>
                <c:pt idx="0">
                  <c:v>6.35</c:v>
                </c:pt>
                <c:pt idx="1">
                  <c:v>6.35</c:v>
                </c:pt>
                <c:pt idx="2">
                  <c:v>6.35</c:v>
                </c:pt>
                <c:pt idx="3">
                  <c:v>6.35</c:v>
                </c:pt>
                <c:pt idx="4">
                  <c:v>6.35</c:v>
                </c:pt>
                <c:pt idx="5">
                  <c:v>6.35</c:v>
                </c:pt>
                <c:pt idx="6">
                  <c:v>6.35</c:v>
                </c:pt>
                <c:pt idx="7">
                  <c:v>6.35</c:v>
                </c:pt>
                <c:pt idx="8">
                  <c:v>6.35</c:v>
                </c:pt>
                <c:pt idx="9">
                  <c:v>6.35</c:v>
                </c:pt>
              </c:numCache>
            </c:numRef>
          </c:yVal>
          <c:smooth val="0"/>
          <c:extLst xmlns:c16r2="http://schemas.microsoft.com/office/drawing/2015/06/chart">
            <c:ext xmlns:c16="http://schemas.microsoft.com/office/drawing/2014/chart" uri="{C3380CC4-5D6E-409C-BE32-E72D297353CC}">
              <c16:uniqueId val="{00000002-0F12-4686-BBBE-06C2AAA143DE}"/>
            </c:ext>
          </c:extLst>
        </c:ser>
        <c:ser>
          <c:idx val="3"/>
          <c:order val="3"/>
          <c:tx>
            <c:v>RT-</c:v>
          </c:tx>
          <c:spPr>
            <a:ln w="19050" cap="rnd">
              <a:solidFill>
                <a:schemeClr val="tx1"/>
              </a:solidFill>
              <a:round/>
            </a:ln>
            <a:effectLst/>
          </c:spPr>
          <c:marker>
            <c:symbol val="none"/>
          </c:marker>
          <c:xVal>
            <c:numRef>
              <c:f>Geometry!$H$31:$H$40</c:f>
              <c:numCache>
                <c:formatCode>0.0</c:formatCode>
                <c:ptCount val="10"/>
                <c:pt idx="0" formatCode="General">
                  <c:v>30</c:v>
                </c:pt>
                <c:pt idx="1">
                  <c:v>36.25</c:v>
                </c:pt>
                <c:pt idx="2">
                  <c:v>48.75</c:v>
                </c:pt>
                <c:pt idx="3">
                  <c:v>61.25</c:v>
                </c:pt>
                <c:pt idx="4">
                  <c:v>73.75</c:v>
                </c:pt>
                <c:pt idx="5">
                  <c:v>86.25</c:v>
                </c:pt>
                <c:pt idx="6">
                  <c:v>98.75</c:v>
                </c:pt>
                <c:pt idx="7">
                  <c:v>111.25</c:v>
                </c:pt>
                <c:pt idx="8">
                  <c:v>123.75</c:v>
                </c:pt>
                <c:pt idx="9">
                  <c:v>130</c:v>
                </c:pt>
              </c:numCache>
            </c:numRef>
          </c:xVal>
          <c:yVal>
            <c:numRef>
              <c:f>Geometry!$J$31:$J$40</c:f>
              <c:numCache>
                <c:formatCode>General</c:formatCode>
                <c:ptCount val="10"/>
                <c:pt idx="0">
                  <c:v>-6.35</c:v>
                </c:pt>
                <c:pt idx="1">
                  <c:v>-6.35</c:v>
                </c:pt>
                <c:pt idx="2">
                  <c:v>-6.35</c:v>
                </c:pt>
                <c:pt idx="3">
                  <c:v>-6.35</c:v>
                </c:pt>
                <c:pt idx="4">
                  <c:v>-6.35</c:v>
                </c:pt>
                <c:pt idx="5">
                  <c:v>-6.35</c:v>
                </c:pt>
                <c:pt idx="6">
                  <c:v>-6.35</c:v>
                </c:pt>
                <c:pt idx="7">
                  <c:v>-6.35</c:v>
                </c:pt>
                <c:pt idx="8">
                  <c:v>-6.35</c:v>
                </c:pt>
                <c:pt idx="9">
                  <c:v>-6.35</c:v>
                </c:pt>
              </c:numCache>
            </c:numRef>
          </c:yVal>
          <c:smooth val="0"/>
          <c:extLst xmlns:c16r2="http://schemas.microsoft.com/office/drawing/2015/06/chart">
            <c:ext xmlns:c16="http://schemas.microsoft.com/office/drawing/2014/chart" uri="{C3380CC4-5D6E-409C-BE32-E72D297353CC}">
              <c16:uniqueId val="{00000003-0F12-4686-BBBE-06C2AAA143DE}"/>
            </c:ext>
          </c:extLst>
        </c:ser>
        <c:ser>
          <c:idx val="4"/>
          <c:order val="4"/>
          <c:tx>
            <c:v>FUP</c:v>
          </c:tx>
          <c:spPr>
            <a:ln w="19050" cap="rnd">
              <a:solidFill>
                <a:schemeClr val="accent1"/>
              </a:solidFill>
              <a:round/>
            </a:ln>
            <a:effectLst/>
          </c:spPr>
          <c:marker>
            <c:symbol val="none"/>
          </c:marker>
          <c:xVal>
            <c:numRef>
              <c:f>Geometry!$H$50:$H$59</c:f>
              <c:numCache>
                <c:formatCode>0.000</c:formatCode>
                <c:ptCount val="10"/>
                <c:pt idx="0">
                  <c:v>110</c:v>
                </c:pt>
                <c:pt idx="1">
                  <c:v>110.9375</c:v>
                </c:pt>
                <c:pt idx="2">
                  <c:v>112.8125</c:v>
                </c:pt>
                <c:pt idx="3">
                  <c:v>114.6875</c:v>
                </c:pt>
                <c:pt idx="4">
                  <c:v>116.5625</c:v>
                </c:pt>
                <c:pt idx="5">
                  <c:v>118.4375</c:v>
                </c:pt>
                <c:pt idx="6">
                  <c:v>120.3125</c:v>
                </c:pt>
                <c:pt idx="7">
                  <c:v>122.1875</c:v>
                </c:pt>
                <c:pt idx="8">
                  <c:v>125</c:v>
                </c:pt>
                <c:pt idx="9">
                  <c:v>125</c:v>
                </c:pt>
              </c:numCache>
            </c:numRef>
          </c:xVal>
          <c:yVal>
            <c:numRef>
              <c:f>Geometry!$I$50:$I$59</c:f>
              <c:numCache>
                <c:formatCode>0.000</c:formatCode>
                <c:ptCount val="10"/>
                <c:pt idx="0">
                  <c:v>6.35</c:v>
                </c:pt>
                <c:pt idx="1">
                  <c:v>10.1</c:v>
                </c:pt>
                <c:pt idx="2">
                  <c:v>17.600000000000001</c:v>
                </c:pt>
                <c:pt idx="3">
                  <c:v>25.1</c:v>
                </c:pt>
                <c:pt idx="4">
                  <c:v>26.35</c:v>
                </c:pt>
                <c:pt idx="5">
                  <c:v>26.35</c:v>
                </c:pt>
                <c:pt idx="6">
                  <c:v>26.35</c:v>
                </c:pt>
                <c:pt idx="7">
                  <c:v>26.35</c:v>
                </c:pt>
                <c:pt idx="8">
                  <c:v>26.35</c:v>
                </c:pt>
                <c:pt idx="9">
                  <c:v>6.35</c:v>
                </c:pt>
              </c:numCache>
            </c:numRef>
          </c:yVal>
          <c:smooth val="0"/>
          <c:extLst xmlns:c16r2="http://schemas.microsoft.com/office/drawing/2015/06/chart">
            <c:ext xmlns:c16="http://schemas.microsoft.com/office/drawing/2014/chart" uri="{C3380CC4-5D6E-409C-BE32-E72D297353CC}">
              <c16:uniqueId val="{00000004-0F12-4686-BBBE-06C2AAA143DE}"/>
            </c:ext>
          </c:extLst>
        </c:ser>
        <c:ser>
          <c:idx val="5"/>
          <c:order val="5"/>
          <c:tx>
            <c:v>FDN</c:v>
          </c:tx>
          <c:spPr>
            <a:ln w="19050" cap="rnd">
              <a:solidFill>
                <a:schemeClr val="accent1"/>
              </a:solidFill>
              <a:round/>
            </a:ln>
            <a:effectLst/>
          </c:spPr>
          <c:marker>
            <c:symbol val="none"/>
          </c:marker>
          <c:xVal>
            <c:numRef>
              <c:f>Geometry!$H$50:$H$59</c:f>
              <c:numCache>
                <c:formatCode>0.000</c:formatCode>
                <c:ptCount val="10"/>
                <c:pt idx="0">
                  <c:v>110</c:v>
                </c:pt>
                <c:pt idx="1">
                  <c:v>110.9375</c:v>
                </c:pt>
                <c:pt idx="2">
                  <c:v>112.8125</c:v>
                </c:pt>
                <c:pt idx="3">
                  <c:v>114.6875</c:v>
                </c:pt>
                <c:pt idx="4">
                  <c:v>116.5625</c:v>
                </c:pt>
                <c:pt idx="5">
                  <c:v>118.4375</c:v>
                </c:pt>
                <c:pt idx="6">
                  <c:v>120.3125</c:v>
                </c:pt>
                <c:pt idx="7">
                  <c:v>122.1875</c:v>
                </c:pt>
                <c:pt idx="8">
                  <c:v>125</c:v>
                </c:pt>
                <c:pt idx="9">
                  <c:v>125</c:v>
                </c:pt>
              </c:numCache>
            </c:numRef>
          </c:xVal>
          <c:yVal>
            <c:numRef>
              <c:f>Geometry!$J$50:$J$59</c:f>
              <c:numCache>
                <c:formatCode>0.000</c:formatCode>
                <c:ptCount val="10"/>
                <c:pt idx="0">
                  <c:v>-6.35</c:v>
                </c:pt>
                <c:pt idx="1">
                  <c:v>-10.1</c:v>
                </c:pt>
                <c:pt idx="2">
                  <c:v>-17.600000000000001</c:v>
                </c:pt>
                <c:pt idx="3">
                  <c:v>-25.1</c:v>
                </c:pt>
                <c:pt idx="4">
                  <c:v>-26.35</c:v>
                </c:pt>
                <c:pt idx="5">
                  <c:v>-26.35</c:v>
                </c:pt>
                <c:pt idx="6">
                  <c:v>-26.35</c:v>
                </c:pt>
                <c:pt idx="7">
                  <c:v>-26.35</c:v>
                </c:pt>
                <c:pt idx="8">
                  <c:v>-26.35</c:v>
                </c:pt>
                <c:pt idx="9">
                  <c:v>-6.35</c:v>
                </c:pt>
              </c:numCache>
            </c:numRef>
          </c:yVal>
          <c:smooth val="0"/>
          <c:extLst xmlns:c16r2="http://schemas.microsoft.com/office/drawing/2015/06/chart">
            <c:ext xmlns:c16="http://schemas.microsoft.com/office/drawing/2014/chart" uri="{C3380CC4-5D6E-409C-BE32-E72D297353CC}">
              <c16:uniqueId val="{00000005-0F12-4686-BBBE-06C2AAA143DE}"/>
            </c:ext>
          </c:extLst>
        </c:ser>
        <c:ser>
          <c:idx val="6"/>
          <c:order val="6"/>
          <c:tx>
            <c:v>BT+</c:v>
          </c:tx>
          <c:spPr>
            <a:ln w="19050" cap="rnd">
              <a:solidFill>
                <a:schemeClr val="tx2"/>
              </a:solidFill>
              <a:round/>
            </a:ln>
            <a:effectLst/>
          </c:spPr>
          <c:marker>
            <c:symbol val="none"/>
          </c:marker>
          <c:xVal>
            <c:numRef>
              <c:f>Geometry!$H$88:$H$98</c:f>
              <c:numCache>
                <c:formatCode>0.00</c:formatCode>
                <c:ptCount val="11"/>
                <c:pt idx="0">
                  <c:v>130</c:v>
                </c:pt>
                <c:pt idx="1">
                  <c:v>130.5</c:v>
                </c:pt>
                <c:pt idx="2">
                  <c:v>131.5</c:v>
                </c:pt>
                <c:pt idx="3">
                  <c:v>132.5</c:v>
                </c:pt>
                <c:pt idx="4">
                  <c:v>133.5</c:v>
                </c:pt>
                <c:pt idx="5">
                  <c:v>134.5</c:v>
                </c:pt>
                <c:pt idx="6">
                  <c:v>135.5</c:v>
                </c:pt>
                <c:pt idx="7">
                  <c:v>136.5</c:v>
                </c:pt>
                <c:pt idx="8">
                  <c:v>137.5</c:v>
                </c:pt>
                <c:pt idx="9">
                  <c:v>138</c:v>
                </c:pt>
                <c:pt idx="10">
                  <c:v>138</c:v>
                </c:pt>
              </c:numCache>
            </c:numRef>
          </c:xVal>
          <c:yVal>
            <c:numRef>
              <c:f>Geometry!$I$88:$I$98</c:f>
              <c:numCache>
                <c:formatCode>0.00</c:formatCode>
                <c:ptCount val="11"/>
                <c:pt idx="0">
                  <c:v>6.35</c:v>
                </c:pt>
                <c:pt idx="1">
                  <c:v>6.09375</c:v>
                </c:pt>
                <c:pt idx="2">
                  <c:v>5.5812499999999998</c:v>
                </c:pt>
                <c:pt idx="3">
                  <c:v>5.0687499999999996</c:v>
                </c:pt>
                <c:pt idx="4">
                  <c:v>4.5562500000000004</c:v>
                </c:pt>
                <c:pt idx="5">
                  <c:v>4.0437499999999993</c:v>
                </c:pt>
                <c:pt idx="6">
                  <c:v>3.53125</c:v>
                </c:pt>
                <c:pt idx="7">
                  <c:v>3.0187499999999998</c:v>
                </c:pt>
                <c:pt idx="8">
                  <c:v>2.5062500000000001</c:v>
                </c:pt>
                <c:pt idx="9">
                  <c:v>2.25</c:v>
                </c:pt>
                <c:pt idx="10" formatCode="General">
                  <c:v>0</c:v>
                </c:pt>
              </c:numCache>
            </c:numRef>
          </c:yVal>
          <c:smooth val="0"/>
          <c:extLst xmlns:c16r2="http://schemas.microsoft.com/office/drawing/2015/06/chart">
            <c:ext xmlns:c16="http://schemas.microsoft.com/office/drawing/2014/chart" uri="{C3380CC4-5D6E-409C-BE32-E72D297353CC}">
              <c16:uniqueId val="{00000006-0F12-4686-BBBE-06C2AAA143DE}"/>
            </c:ext>
          </c:extLst>
        </c:ser>
        <c:ser>
          <c:idx val="7"/>
          <c:order val="7"/>
          <c:tx>
            <c:v>BT-</c:v>
          </c:tx>
          <c:spPr>
            <a:ln w="19050" cap="rnd">
              <a:solidFill>
                <a:schemeClr val="tx2"/>
              </a:solidFill>
              <a:round/>
            </a:ln>
            <a:effectLst/>
          </c:spPr>
          <c:marker>
            <c:symbol val="none"/>
          </c:marker>
          <c:xVal>
            <c:numRef>
              <c:f>Geometry!$H$88:$H$98</c:f>
              <c:numCache>
                <c:formatCode>0.00</c:formatCode>
                <c:ptCount val="11"/>
                <c:pt idx="0">
                  <c:v>130</c:v>
                </c:pt>
                <c:pt idx="1">
                  <c:v>130.5</c:v>
                </c:pt>
                <c:pt idx="2">
                  <c:v>131.5</c:v>
                </c:pt>
                <c:pt idx="3">
                  <c:v>132.5</c:v>
                </c:pt>
                <c:pt idx="4">
                  <c:v>133.5</c:v>
                </c:pt>
                <c:pt idx="5">
                  <c:v>134.5</c:v>
                </c:pt>
                <c:pt idx="6">
                  <c:v>135.5</c:v>
                </c:pt>
                <c:pt idx="7">
                  <c:v>136.5</c:v>
                </c:pt>
                <c:pt idx="8">
                  <c:v>137.5</c:v>
                </c:pt>
                <c:pt idx="9">
                  <c:v>138</c:v>
                </c:pt>
                <c:pt idx="10">
                  <c:v>138</c:v>
                </c:pt>
              </c:numCache>
            </c:numRef>
          </c:xVal>
          <c:yVal>
            <c:numRef>
              <c:f>Geometry!$J$88:$J$98</c:f>
              <c:numCache>
                <c:formatCode>0.00</c:formatCode>
                <c:ptCount val="11"/>
                <c:pt idx="0">
                  <c:v>-6.35</c:v>
                </c:pt>
                <c:pt idx="1">
                  <c:v>-6.09375</c:v>
                </c:pt>
                <c:pt idx="2">
                  <c:v>-5.5812499999999998</c:v>
                </c:pt>
                <c:pt idx="3">
                  <c:v>-5.0687499999999996</c:v>
                </c:pt>
                <c:pt idx="4">
                  <c:v>-4.5562500000000004</c:v>
                </c:pt>
                <c:pt idx="5">
                  <c:v>-4.0437499999999993</c:v>
                </c:pt>
                <c:pt idx="6">
                  <c:v>-3.53125</c:v>
                </c:pt>
                <c:pt idx="7">
                  <c:v>-3.0187499999999998</c:v>
                </c:pt>
                <c:pt idx="8">
                  <c:v>-2.5062500000000001</c:v>
                </c:pt>
                <c:pt idx="9">
                  <c:v>-2.25</c:v>
                </c:pt>
                <c:pt idx="10" formatCode="General">
                  <c:v>0</c:v>
                </c:pt>
              </c:numCache>
            </c:numRef>
          </c:yVal>
          <c:smooth val="0"/>
          <c:extLst xmlns:c16r2="http://schemas.microsoft.com/office/drawing/2015/06/chart">
            <c:ext xmlns:c16="http://schemas.microsoft.com/office/drawing/2014/chart" uri="{C3380CC4-5D6E-409C-BE32-E72D297353CC}">
              <c16:uniqueId val="{00000007-0F12-4686-BBBE-06C2AAA143DE}"/>
            </c:ext>
          </c:extLst>
        </c:ser>
        <c:ser>
          <c:idx val="8"/>
          <c:order val="8"/>
          <c:tx>
            <c:v>CG</c:v>
          </c:tx>
          <c:spPr>
            <a:ln w="25400" cap="rnd">
              <a:noFill/>
              <a:round/>
            </a:ln>
            <a:effectLst/>
          </c:spPr>
          <c:marker>
            <c:symbol val="circle"/>
            <c:size val="5"/>
            <c:spPr>
              <a:solidFill>
                <a:srgbClr val="FFFF00"/>
              </a:solidFill>
              <a:ln w="22225">
                <a:solidFill>
                  <a:schemeClr val="tx1"/>
                </a:solidFill>
              </a:ln>
              <a:effectLst/>
            </c:spPr>
          </c:marker>
          <c:xVal>
            <c:numRef>
              <c:f>'Forces balance'!$D$17:$D$28</c:f>
              <c:numCache>
                <c:formatCode>General</c:formatCode>
                <c:ptCount val="12"/>
                <c:pt idx="0">
                  <c:v>20</c:v>
                </c:pt>
                <c:pt idx="1">
                  <c:v>80</c:v>
                </c:pt>
                <c:pt idx="2">
                  <c:v>120</c:v>
                </c:pt>
                <c:pt idx="3">
                  <c:v>120</c:v>
                </c:pt>
                <c:pt idx="4">
                  <c:v>120</c:v>
                </c:pt>
                <c:pt idx="5">
                  <c:v>120</c:v>
                </c:pt>
                <c:pt idx="6">
                  <c:v>0</c:v>
                </c:pt>
                <c:pt idx="7">
                  <c:v>40</c:v>
                </c:pt>
                <c:pt idx="8">
                  <c:v>60</c:v>
                </c:pt>
                <c:pt idx="9">
                  <c:v>120</c:v>
                </c:pt>
                <c:pt idx="10">
                  <c:v>25</c:v>
                </c:pt>
                <c:pt idx="11" formatCode="0.000">
                  <c:v>58.959825599501713</c:v>
                </c:pt>
              </c:numCache>
            </c:numRef>
          </c:xVal>
          <c:yVal>
            <c:numRef>
              <c:f>'Forces balance'!$F$17:$F$28</c:f>
              <c:numCache>
                <c:formatCode>General</c:formatCode>
                <c:ptCount val="12"/>
                <c:pt idx="0">
                  <c:v>0</c:v>
                </c:pt>
                <c:pt idx="1">
                  <c:v>0</c:v>
                </c:pt>
                <c:pt idx="2">
                  <c:v>0</c:v>
                </c:pt>
                <c:pt idx="3">
                  <c:v>0</c:v>
                </c:pt>
                <c:pt idx="4">
                  <c:v>6</c:v>
                </c:pt>
                <c:pt idx="5">
                  <c:v>-6</c:v>
                </c:pt>
                <c:pt idx="6">
                  <c:v>0</c:v>
                </c:pt>
                <c:pt idx="7">
                  <c:v>-1</c:v>
                </c:pt>
                <c:pt idx="8">
                  <c:v>-0.4</c:v>
                </c:pt>
                <c:pt idx="9">
                  <c:v>0</c:v>
                </c:pt>
                <c:pt idx="10">
                  <c:v>0</c:v>
                </c:pt>
                <c:pt idx="11" formatCode="0.000">
                  <c:v>-0.16194331983805668</c:v>
                </c:pt>
              </c:numCache>
            </c:numRef>
          </c:yVal>
          <c:smooth val="0"/>
          <c:extLst xmlns:c16r2="http://schemas.microsoft.com/office/drawing/2015/06/chart">
            <c:ext xmlns:c16="http://schemas.microsoft.com/office/drawing/2014/chart" uri="{C3380CC4-5D6E-409C-BE32-E72D297353CC}">
              <c16:uniqueId val="{00000000-7A80-4305-BDF2-1B15999771E1}"/>
            </c:ext>
          </c:extLst>
        </c:ser>
        <c:dLbls>
          <c:showLegendKey val="0"/>
          <c:showVal val="0"/>
          <c:showCatName val="0"/>
          <c:showSerName val="0"/>
          <c:showPercent val="0"/>
          <c:showBubbleSize val="0"/>
        </c:dLbls>
        <c:axId val="424953104"/>
        <c:axId val="424942224"/>
      </c:scatterChart>
      <c:valAx>
        <c:axId val="424953104"/>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x-axis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24942224"/>
        <c:crosses val="autoZero"/>
        <c:crossBetween val="midCat"/>
      </c:valAx>
      <c:valAx>
        <c:axId val="42494222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z-axis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24953104"/>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RocketData!$B$6</c:f>
              <c:strCache>
                <c:ptCount val="1"/>
                <c:pt idx="0">
                  <c:v>1.5</c:v>
                </c:pt>
              </c:strCache>
            </c:strRef>
          </c:tx>
          <c:spPr>
            <a:ln w="19050" cap="rnd">
              <a:solidFill>
                <a:schemeClr val="accent1"/>
              </a:solidFill>
              <a:round/>
            </a:ln>
            <a:effectLst/>
          </c:spPr>
          <c:marker>
            <c:symbol val="none"/>
          </c:marker>
          <c:xVal>
            <c:numRef>
              <c:f>RocketData!$A$7:$A$31</c:f>
              <c:numCache>
                <c:formatCode>General</c:formatCode>
                <c:ptCount val="25"/>
                <c:pt idx="0">
                  <c:v>0</c:v>
                </c:pt>
                <c:pt idx="1">
                  <c:v>0.3</c:v>
                </c:pt>
                <c:pt idx="2">
                  <c:v>0.4</c:v>
                </c:pt>
                <c:pt idx="3">
                  <c:v>0.5</c:v>
                </c:pt>
                <c:pt idx="4">
                  <c:v>0.6</c:v>
                </c:pt>
                <c:pt idx="5">
                  <c:v>0.7</c:v>
                </c:pt>
                <c:pt idx="6">
                  <c:v>0.8</c:v>
                </c:pt>
                <c:pt idx="7">
                  <c:v>0.9</c:v>
                </c:pt>
                <c:pt idx="8">
                  <c:v>1</c:v>
                </c:pt>
                <c:pt idx="9">
                  <c:v>1.05</c:v>
                </c:pt>
                <c:pt idx="10">
                  <c:v>1.1000000000000001</c:v>
                </c:pt>
                <c:pt idx="11">
                  <c:v>1.1499999999999999</c:v>
                </c:pt>
                <c:pt idx="12">
                  <c:v>1.2</c:v>
                </c:pt>
                <c:pt idx="13">
                  <c:v>1.3</c:v>
                </c:pt>
                <c:pt idx="14">
                  <c:v>1.4</c:v>
                </c:pt>
                <c:pt idx="15">
                  <c:v>1.5</c:v>
                </c:pt>
                <c:pt idx="16">
                  <c:v>1.75</c:v>
                </c:pt>
                <c:pt idx="17">
                  <c:v>2</c:v>
                </c:pt>
                <c:pt idx="18">
                  <c:v>2.25</c:v>
                </c:pt>
                <c:pt idx="19">
                  <c:v>2.5</c:v>
                </c:pt>
                <c:pt idx="20">
                  <c:v>3</c:v>
                </c:pt>
                <c:pt idx="21">
                  <c:v>3.5</c:v>
                </c:pt>
                <c:pt idx="22">
                  <c:v>4</c:v>
                </c:pt>
                <c:pt idx="23">
                  <c:v>4.5</c:v>
                </c:pt>
                <c:pt idx="24">
                  <c:v>5</c:v>
                </c:pt>
              </c:numCache>
            </c:numRef>
          </c:xVal>
          <c:yVal>
            <c:numRef>
              <c:f>RocketData!$B$7:$B$31</c:f>
              <c:numCache>
                <c:formatCode>General</c:formatCode>
                <c:ptCount val="25"/>
                <c:pt idx="0">
                  <c:v>2</c:v>
                </c:pt>
                <c:pt idx="1">
                  <c:v>2.0099999999999998</c:v>
                </c:pt>
                <c:pt idx="2">
                  <c:v>2.02</c:v>
                </c:pt>
                <c:pt idx="3">
                  <c:v>2.0299999999999998</c:v>
                </c:pt>
                <c:pt idx="4">
                  <c:v>2.0499999999999998</c:v>
                </c:pt>
                <c:pt idx="5">
                  <c:v>2.06</c:v>
                </c:pt>
                <c:pt idx="6">
                  <c:v>2.1</c:v>
                </c:pt>
                <c:pt idx="7">
                  <c:v>2.16</c:v>
                </c:pt>
                <c:pt idx="8">
                  <c:v>2.2999999999999998</c:v>
                </c:pt>
                <c:pt idx="9">
                  <c:v>2.36</c:v>
                </c:pt>
                <c:pt idx="10">
                  <c:v>2.4</c:v>
                </c:pt>
                <c:pt idx="11">
                  <c:v>2.38</c:v>
                </c:pt>
                <c:pt idx="12">
                  <c:v>2.37</c:v>
                </c:pt>
                <c:pt idx="13">
                  <c:v>2.35</c:v>
                </c:pt>
                <c:pt idx="14">
                  <c:v>2.35</c:v>
                </c:pt>
                <c:pt idx="15">
                  <c:v>2.35</c:v>
                </c:pt>
                <c:pt idx="16">
                  <c:v>2.37</c:v>
                </c:pt>
                <c:pt idx="17">
                  <c:v>2.4</c:v>
                </c:pt>
                <c:pt idx="18">
                  <c:v>2.42</c:v>
                </c:pt>
                <c:pt idx="19">
                  <c:v>2.4500000000000002</c:v>
                </c:pt>
                <c:pt idx="20">
                  <c:v>2.48</c:v>
                </c:pt>
                <c:pt idx="21">
                  <c:v>2.5099999999999998</c:v>
                </c:pt>
                <c:pt idx="22">
                  <c:v>2.5299999999999998</c:v>
                </c:pt>
                <c:pt idx="23">
                  <c:v>2.56</c:v>
                </c:pt>
                <c:pt idx="24">
                  <c:v>2.57</c:v>
                </c:pt>
              </c:numCache>
            </c:numRef>
          </c:yVal>
          <c:smooth val="1"/>
          <c:extLst xmlns:c16r2="http://schemas.microsoft.com/office/drawing/2015/06/chart">
            <c:ext xmlns:c16="http://schemas.microsoft.com/office/drawing/2014/chart" uri="{C3380CC4-5D6E-409C-BE32-E72D297353CC}">
              <c16:uniqueId val="{00000000-BA4B-4DC4-83B5-80F0950FA526}"/>
            </c:ext>
          </c:extLst>
        </c:ser>
        <c:ser>
          <c:idx val="1"/>
          <c:order val="1"/>
          <c:tx>
            <c:strRef>
              <c:f>RocketData!$C$6</c:f>
              <c:strCache>
                <c:ptCount val="1"/>
                <c:pt idx="0">
                  <c:v>3</c:v>
                </c:pt>
              </c:strCache>
            </c:strRef>
          </c:tx>
          <c:spPr>
            <a:ln w="19050" cap="rnd">
              <a:solidFill>
                <a:schemeClr val="accent2"/>
              </a:solidFill>
              <a:round/>
            </a:ln>
            <a:effectLst/>
          </c:spPr>
          <c:marker>
            <c:symbol val="none"/>
          </c:marker>
          <c:xVal>
            <c:numRef>
              <c:f>RocketData!$A$7:$A$31</c:f>
              <c:numCache>
                <c:formatCode>General</c:formatCode>
                <c:ptCount val="25"/>
                <c:pt idx="0">
                  <c:v>0</c:v>
                </c:pt>
                <c:pt idx="1">
                  <c:v>0.3</c:v>
                </c:pt>
                <c:pt idx="2">
                  <c:v>0.4</c:v>
                </c:pt>
                <c:pt idx="3">
                  <c:v>0.5</c:v>
                </c:pt>
                <c:pt idx="4">
                  <c:v>0.6</c:v>
                </c:pt>
                <c:pt idx="5">
                  <c:v>0.7</c:v>
                </c:pt>
                <c:pt idx="6">
                  <c:v>0.8</c:v>
                </c:pt>
                <c:pt idx="7">
                  <c:v>0.9</c:v>
                </c:pt>
                <c:pt idx="8">
                  <c:v>1</c:v>
                </c:pt>
                <c:pt idx="9">
                  <c:v>1.05</c:v>
                </c:pt>
                <c:pt idx="10">
                  <c:v>1.1000000000000001</c:v>
                </c:pt>
                <c:pt idx="11">
                  <c:v>1.1499999999999999</c:v>
                </c:pt>
                <c:pt idx="12">
                  <c:v>1.2</c:v>
                </c:pt>
                <c:pt idx="13">
                  <c:v>1.3</c:v>
                </c:pt>
                <c:pt idx="14">
                  <c:v>1.4</c:v>
                </c:pt>
                <c:pt idx="15">
                  <c:v>1.5</c:v>
                </c:pt>
                <c:pt idx="16">
                  <c:v>1.75</c:v>
                </c:pt>
                <c:pt idx="17">
                  <c:v>2</c:v>
                </c:pt>
                <c:pt idx="18">
                  <c:v>2.25</c:v>
                </c:pt>
                <c:pt idx="19">
                  <c:v>2.5</c:v>
                </c:pt>
                <c:pt idx="20">
                  <c:v>3</c:v>
                </c:pt>
                <c:pt idx="21">
                  <c:v>3.5</c:v>
                </c:pt>
                <c:pt idx="22">
                  <c:v>4</c:v>
                </c:pt>
                <c:pt idx="23">
                  <c:v>4.5</c:v>
                </c:pt>
                <c:pt idx="24">
                  <c:v>5</c:v>
                </c:pt>
              </c:numCache>
            </c:numRef>
          </c:xVal>
          <c:yVal>
            <c:numRef>
              <c:f>RocketData!$C$7:$C$31</c:f>
              <c:numCache>
                <c:formatCode>General</c:formatCode>
                <c:ptCount val="25"/>
                <c:pt idx="0">
                  <c:v>2</c:v>
                </c:pt>
                <c:pt idx="1">
                  <c:v>2.0099999999999998</c:v>
                </c:pt>
                <c:pt idx="2">
                  <c:v>2.02</c:v>
                </c:pt>
                <c:pt idx="3">
                  <c:v>2.0299999999999998</c:v>
                </c:pt>
                <c:pt idx="4">
                  <c:v>2.0499999999999998</c:v>
                </c:pt>
                <c:pt idx="5">
                  <c:v>2.06</c:v>
                </c:pt>
                <c:pt idx="6">
                  <c:v>2.1</c:v>
                </c:pt>
                <c:pt idx="7">
                  <c:v>2.16</c:v>
                </c:pt>
                <c:pt idx="8">
                  <c:v>2.2999999999999998</c:v>
                </c:pt>
                <c:pt idx="9">
                  <c:v>2.36</c:v>
                </c:pt>
                <c:pt idx="10">
                  <c:v>2.4</c:v>
                </c:pt>
                <c:pt idx="11">
                  <c:v>2.37</c:v>
                </c:pt>
                <c:pt idx="12">
                  <c:v>2.3199999999999998</c:v>
                </c:pt>
                <c:pt idx="13">
                  <c:v>2.27</c:v>
                </c:pt>
                <c:pt idx="14">
                  <c:v>2.25</c:v>
                </c:pt>
                <c:pt idx="15">
                  <c:v>2.2400000000000002</c:v>
                </c:pt>
                <c:pt idx="16">
                  <c:v>2.2599999999999998</c:v>
                </c:pt>
                <c:pt idx="17">
                  <c:v>2.31</c:v>
                </c:pt>
                <c:pt idx="18">
                  <c:v>2.36</c:v>
                </c:pt>
                <c:pt idx="19">
                  <c:v>2.4</c:v>
                </c:pt>
                <c:pt idx="20">
                  <c:v>2.4900000000000002</c:v>
                </c:pt>
                <c:pt idx="21">
                  <c:v>2.57</c:v>
                </c:pt>
                <c:pt idx="22">
                  <c:v>2.63</c:v>
                </c:pt>
                <c:pt idx="23">
                  <c:v>2.67</c:v>
                </c:pt>
                <c:pt idx="24">
                  <c:v>2.7</c:v>
                </c:pt>
              </c:numCache>
            </c:numRef>
          </c:yVal>
          <c:smooth val="1"/>
          <c:extLst xmlns:c16r2="http://schemas.microsoft.com/office/drawing/2015/06/chart">
            <c:ext xmlns:c16="http://schemas.microsoft.com/office/drawing/2014/chart" uri="{C3380CC4-5D6E-409C-BE32-E72D297353CC}">
              <c16:uniqueId val="{00000001-BA4B-4DC4-83B5-80F0950FA526}"/>
            </c:ext>
          </c:extLst>
        </c:ser>
        <c:ser>
          <c:idx val="2"/>
          <c:order val="2"/>
          <c:tx>
            <c:strRef>
              <c:f>RocketData!$D$6</c:f>
              <c:strCache>
                <c:ptCount val="1"/>
                <c:pt idx="0">
                  <c:v>5</c:v>
                </c:pt>
              </c:strCache>
            </c:strRef>
          </c:tx>
          <c:spPr>
            <a:ln w="19050" cap="rnd">
              <a:solidFill>
                <a:schemeClr val="accent3"/>
              </a:solidFill>
              <a:round/>
            </a:ln>
            <a:effectLst/>
          </c:spPr>
          <c:marker>
            <c:symbol val="none"/>
          </c:marker>
          <c:xVal>
            <c:numRef>
              <c:f>RocketData!$A$7:$A$31</c:f>
              <c:numCache>
                <c:formatCode>General</c:formatCode>
                <c:ptCount val="25"/>
                <c:pt idx="0">
                  <c:v>0</c:v>
                </c:pt>
                <c:pt idx="1">
                  <c:v>0.3</c:v>
                </c:pt>
                <c:pt idx="2">
                  <c:v>0.4</c:v>
                </c:pt>
                <c:pt idx="3">
                  <c:v>0.5</c:v>
                </c:pt>
                <c:pt idx="4">
                  <c:v>0.6</c:v>
                </c:pt>
                <c:pt idx="5">
                  <c:v>0.7</c:v>
                </c:pt>
                <c:pt idx="6">
                  <c:v>0.8</c:v>
                </c:pt>
                <c:pt idx="7">
                  <c:v>0.9</c:v>
                </c:pt>
                <c:pt idx="8">
                  <c:v>1</c:v>
                </c:pt>
                <c:pt idx="9">
                  <c:v>1.05</c:v>
                </c:pt>
                <c:pt idx="10">
                  <c:v>1.1000000000000001</c:v>
                </c:pt>
                <c:pt idx="11">
                  <c:v>1.1499999999999999</c:v>
                </c:pt>
                <c:pt idx="12">
                  <c:v>1.2</c:v>
                </c:pt>
                <c:pt idx="13">
                  <c:v>1.3</c:v>
                </c:pt>
                <c:pt idx="14">
                  <c:v>1.4</c:v>
                </c:pt>
                <c:pt idx="15">
                  <c:v>1.5</c:v>
                </c:pt>
                <c:pt idx="16">
                  <c:v>1.75</c:v>
                </c:pt>
                <c:pt idx="17">
                  <c:v>2</c:v>
                </c:pt>
                <c:pt idx="18">
                  <c:v>2.25</c:v>
                </c:pt>
                <c:pt idx="19">
                  <c:v>2.5</c:v>
                </c:pt>
                <c:pt idx="20">
                  <c:v>3</c:v>
                </c:pt>
                <c:pt idx="21">
                  <c:v>3.5</c:v>
                </c:pt>
                <c:pt idx="22">
                  <c:v>4</c:v>
                </c:pt>
                <c:pt idx="23">
                  <c:v>4.5</c:v>
                </c:pt>
                <c:pt idx="24">
                  <c:v>5</c:v>
                </c:pt>
              </c:numCache>
            </c:numRef>
          </c:xVal>
          <c:yVal>
            <c:numRef>
              <c:f>RocketData!$D$7:$D$31</c:f>
              <c:numCache>
                <c:formatCode>General</c:formatCode>
                <c:ptCount val="25"/>
                <c:pt idx="0">
                  <c:v>2</c:v>
                </c:pt>
                <c:pt idx="1">
                  <c:v>2.0099999999999998</c:v>
                </c:pt>
                <c:pt idx="2">
                  <c:v>2.02</c:v>
                </c:pt>
                <c:pt idx="3">
                  <c:v>2.0299999999999998</c:v>
                </c:pt>
                <c:pt idx="4">
                  <c:v>2.0499999999999998</c:v>
                </c:pt>
                <c:pt idx="5">
                  <c:v>2.06</c:v>
                </c:pt>
                <c:pt idx="6">
                  <c:v>2.1</c:v>
                </c:pt>
                <c:pt idx="7">
                  <c:v>2.16</c:v>
                </c:pt>
                <c:pt idx="8">
                  <c:v>2.2999999999999998</c:v>
                </c:pt>
                <c:pt idx="9">
                  <c:v>2.36</c:v>
                </c:pt>
                <c:pt idx="10">
                  <c:v>2.4</c:v>
                </c:pt>
                <c:pt idx="11">
                  <c:v>2.37</c:v>
                </c:pt>
                <c:pt idx="12">
                  <c:v>2.2999999999999998</c:v>
                </c:pt>
                <c:pt idx="13">
                  <c:v>2.21</c:v>
                </c:pt>
                <c:pt idx="14">
                  <c:v>2.16</c:v>
                </c:pt>
                <c:pt idx="15">
                  <c:v>2.12</c:v>
                </c:pt>
                <c:pt idx="16">
                  <c:v>2.08</c:v>
                </c:pt>
                <c:pt idx="17">
                  <c:v>2.08</c:v>
                </c:pt>
                <c:pt idx="18">
                  <c:v>2.12</c:v>
                </c:pt>
                <c:pt idx="19">
                  <c:v>2.15</c:v>
                </c:pt>
                <c:pt idx="20">
                  <c:v>2.2200000000000002</c:v>
                </c:pt>
                <c:pt idx="21">
                  <c:v>2.2799999999999998</c:v>
                </c:pt>
                <c:pt idx="22">
                  <c:v>2.34</c:v>
                </c:pt>
                <c:pt idx="23">
                  <c:v>2.39</c:v>
                </c:pt>
                <c:pt idx="24">
                  <c:v>2.4300000000000002</c:v>
                </c:pt>
              </c:numCache>
            </c:numRef>
          </c:yVal>
          <c:smooth val="1"/>
          <c:extLst xmlns:c16r2="http://schemas.microsoft.com/office/drawing/2015/06/chart">
            <c:ext xmlns:c16="http://schemas.microsoft.com/office/drawing/2014/chart" uri="{C3380CC4-5D6E-409C-BE32-E72D297353CC}">
              <c16:uniqueId val="{00000002-BA4B-4DC4-83B5-80F0950FA526}"/>
            </c:ext>
          </c:extLst>
        </c:ser>
        <c:ser>
          <c:idx val="3"/>
          <c:order val="3"/>
          <c:tx>
            <c:strRef>
              <c:f>RocketData!$E$6</c:f>
              <c:strCache>
                <c:ptCount val="1"/>
                <c:pt idx="0">
                  <c:v>7</c:v>
                </c:pt>
              </c:strCache>
            </c:strRef>
          </c:tx>
          <c:spPr>
            <a:ln w="19050" cap="rnd">
              <a:solidFill>
                <a:schemeClr val="accent4"/>
              </a:solidFill>
              <a:round/>
            </a:ln>
            <a:effectLst/>
          </c:spPr>
          <c:marker>
            <c:symbol val="none"/>
          </c:marker>
          <c:xVal>
            <c:numRef>
              <c:f>RocketData!$A$7:$A$31</c:f>
              <c:numCache>
                <c:formatCode>General</c:formatCode>
                <c:ptCount val="25"/>
                <c:pt idx="0">
                  <c:v>0</c:v>
                </c:pt>
                <c:pt idx="1">
                  <c:v>0.3</c:v>
                </c:pt>
                <c:pt idx="2">
                  <c:v>0.4</c:v>
                </c:pt>
                <c:pt idx="3">
                  <c:v>0.5</c:v>
                </c:pt>
                <c:pt idx="4">
                  <c:v>0.6</c:v>
                </c:pt>
                <c:pt idx="5">
                  <c:v>0.7</c:v>
                </c:pt>
                <c:pt idx="6">
                  <c:v>0.8</c:v>
                </c:pt>
                <c:pt idx="7">
                  <c:v>0.9</c:v>
                </c:pt>
                <c:pt idx="8">
                  <c:v>1</c:v>
                </c:pt>
                <c:pt idx="9">
                  <c:v>1.05</c:v>
                </c:pt>
                <c:pt idx="10">
                  <c:v>1.1000000000000001</c:v>
                </c:pt>
                <c:pt idx="11">
                  <c:v>1.1499999999999999</c:v>
                </c:pt>
                <c:pt idx="12">
                  <c:v>1.2</c:v>
                </c:pt>
                <c:pt idx="13">
                  <c:v>1.3</c:v>
                </c:pt>
                <c:pt idx="14">
                  <c:v>1.4</c:v>
                </c:pt>
                <c:pt idx="15">
                  <c:v>1.5</c:v>
                </c:pt>
                <c:pt idx="16">
                  <c:v>1.75</c:v>
                </c:pt>
                <c:pt idx="17">
                  <c:v>2</c:v>
                </c:pt>
                <c:pt idx="18">
                  <c:v>2.25</c:v>
                </c:pt>
                <c:pt idx="19">
                  <c:v>2.5</c:v>
                </c:pt>
                <c:pt idx="20">
                  <c:v>3</c:v>
                </c:pt>
                <c:pt idx="21">
                  <c:v>3.5</c:v>
                </c:pt>
                <c:pt idx="22">
                  <c:v>4</c:v>
                </c:pt>
                <c:pt idx="23">
                  <c:v>4.5</c:v>
                </c:pt>
                <c:pt idx="24">
                  <c:v>5</c:v>
                </c:pt>
              </c:numCache>
            </c:numRef>
          </c:xVal>
          <c:yVal>
            <c:numRef>
              <c:f>RocketData!$E$7:$E$31</c:f>
              <c:numCache>
                <c:formatCode>General</c:formatCode>
                <c:ptCount val="25"/>
                <c:pt idx="0">
                  <c:v>2</c:v>
                </c:pt>
                <c:pt idx="1">
                  <c:v>2.0099999999999998</c:v>
                </c:pt>
                <c:pt idx="2">
                  <c:v>2.02</c:v>
                </c:pt>
                <c:pt idx="3">
                  <c:v>2.0299999999999998</c:v>
                </c:pt>
                <c:pt idx="4">
                  <c:v>2.0499999999999998</c:v>
                </c:pt>
                <c:pt idx="5">
                  <c:v>2.06</c:v>
                </c:pt>
                <c:pt idx="6">
                  <c:v>2.1</c:v>
                </c:pt>
                <c:pt idx="7">
                  <c:v>2.16</c:v>
                </c:pt>
                <c:pt idx="8">
                  <c:v>2.2999999999999998</c:v>
                </c:pt>
                <c:pt idx="9">
                  <c:v>2.36</c:v>
                </c:pt>
                <c:pt idx="10">
                  <c:v>2.4</c:v>
                </c:pt>
                <c:pt idx="11">
                  <c:v>2.38</c:v>
                </c:pt>
                <c:pt idx="12">
                  <c:v>2.2999999999999998</c:v>
                </c:pt>
                <c:pt idx="13">
                  <c:v>2.21</c:v>
                </c:pt>
                <c:pt idx="14">
                  <c:v>2.13</c:v>
                </c:pt>
                <c:pt idx="15">
                  <c:v>2.08</c:v>
                </c:pt>
                <c:pt idx="16">
                  <c:v>2.0299999999999998</c:v>
                </c:pt>
                <c:pt idx="17">
                  <c:v>2.0099999999999998</c:v>
                </c:pt>
                <c:pt idx="18">
                  <c:v>2.0299999999999998</c:v>
                </c:pt>
                <c:pt idx="19">
                  <c:v>2.06</c:v>
                </c:pt>
                <c:pt idx="20">
                  <c:v>2.1</c:v>
                </c:pt>
                <c:pt idx="21">
                  <c:v>2.14</c:v>
                </c:pt>
                <c:pt idx="22">
                  <c:v>2.1800000000000002</c:v>
                </c:pt>
                <c:pt idx="23">
                  <c:v>2.21</c:v>
                </c:pt>
                <c:pt idx="24">
                  <c:v>2.2400000000000002</c:v>
                </c:pt>
              </c:numCache>
            </c:numRef>
          </c:yVal>
          <c:smooth val="1"/>
          <c:extLst xmlns:c16r2="http://schemas.microsoft.com/office/drawing/2015/06/chart">
            <c:ext xmlns:c16="http://schemas.microsoft.com/office/drawing/2014/chart" uri="{C3380CC4-5D6E-409C-BE32-E72D297353CC}">
              <c16:uniqueId val="{00000003-BA4B-4DC4-83B5-80F0950FA526}"/>
            </c:ext>
          </c:extLst>
        </c:ser>
        <c:dLbls>
          <c:showLegendKey val="0"/>
          <c:showVal val="0"/>
          <c:showCatName val="0"/>
          <c:showSerName val="0"/>
          <c:showPercent val="0"/>
          <c:showBubbleSize val="0"/>
        </c:dLbls>
        <c:axId val="424953648"/>
        <c:axId val="424941136"/>
      </c:scatterChart>
      <c:valAx>
        <c:axId val="4249536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941136"/>
        <c:crosses val="autoZero"/>
        <c:crossBetween val="midCat"/>
      </c:valAx>
      <c:valAx>
        <c:axId val="424941136"/>
        <c:scaling>
          <c:orientation val="minMax"/>
          <c:min val="2"/>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95364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tx>
            <c:strRef>
              <c:f>RocketData!$B$35</c:f>
              <c:strCache>
                <c:ptCount val="1"/>
                <c:pt idx="0">
                  <c:v>1.5</c:v>
                </c:pt>
              </c:strCache>
            </c:strRef>
          </c:tx>
          <c:spPr>
            <a:ln w="19050" cap="rnd">
              <a:solidFill>
                <a:schemeClr val="accent1"/>
              </a:solidFill>
              <a:round/>
            </a:ln>
            <a:effectLst/>
          </c:spPr>
          <c:marker>
            <c:symbol val="none"/>
          </c:marker>
          <c:xVal>
            <c:numRef>
              <c:f>RocketData!$A$36:$A$41</c:f>
              <c:numCache>
                <c:formatCode>General</c:formatCode>
                <c:ptCount val="6"/>
                <c:pt idx="0">
                  <c:v>0</c:v>
                </c:pt>
                <c:pt idx="1">
                  <c:v>1</c:v>
                </c:pt>
                <c:pt idx="2">
                  <c:v>2</c:v>
                </c:pt>
                <c:pt idx="3">
                  <c:v>3</c:v>
                </c:pt>
                <c:pt idx="4">
                  <c:v>4</c:v>
                </c:pt>
                <c:pt idx="5">
                  <c:v>5</c:v>
                </c:pt>
              </c:numCache>
            </c:numRef>
          </c:xVal>
          <c:yVal>
            <c:numRef>
              <c:f>RocketData!$B$36:$B$41</c:f>
              <c:numCache>
                <c:formatCode>General</c:formatCode>
                <c:ptCount val="6"/>
                <c:pt idx="0">
                  <c:v>0.46600000000000003</c:v>
                </c:pt>
                <c:pt idx="1">
                  <c:v>0.46600000000000003</c:v>
                </c:pt>
                <c:pt idx="2">
                  <c:v>0.75</c:v>
                </c:pt>
                <c:pt idx="3">
                  <c:v>0.93</c:v>
                </c:pt>
                <c:pt idx="4">
                  <c:v>1.2</c:v>
                </c:pt>
                <c:pt idx="5">
                  <c:v>1.35</c:v>
                </c:pt>
              </c:numCache>
            </c:numRef>
          </c:yVal>
          <c:smooth val="1"/>
          <c:extLst xmlns:c16r2="http://schemas.microsoft.com/office/drawing/2015/06/chart">
            <c:ext xmlns:c16="http://schemas.microsoft.com/office/drawing/2014/chart" uri="{C3380CC4-5D6E-409C-BE32-E72D297353CC}">
              <c16:uniqueId val="{00000004-570A-4A36-AD20-CD83A2E3F734}"/>
            </c:ext>
          </c:extLst>
        </c:ser>
        <c:ser>
          <c:idx val="1"/>
          <c:order val="1"/>
          <c:tx>
            <c:strRef>
              <c:f>RocketData!$C$35</c:f>
              <c:strCache>
                <c:ptCount val="1"/>
                <c:pt idx="0">
                  <c:v>2</c:v>
                </c:pt>
              </c:strCache>
            </c:strRef>
          </c:tx>
          <c:spPr>
            <a:ln w="19050" cap="rnd">
              <a:solidFill>
                <a:schemeClr val="accent2"/>
              </a:solidFill>
              <a:round/>
            </a:ln>
            <a:effectLst/>
          </c:spPr>
          <c:marker>
            <c:symbol val="none"/>
          </c:marker>
          <c:yVal>
            <c:numRef>
              <c:f>RocketData!$C$36:$C$41</c:f>
              <c:numCache>
                <c:formatCode>General</c:formatCode>
                <c:ptCount val="6"/>
                <c:pt idx="0">
                  <c:v>0.46600000000000003</c:v>
                </c:pt>
                <c:pt idx="1">
                  <c:v>0.46600000000000003</c:v>
                </c:pt>
                <c:pt idx="2">
                  <c:v>1.02</c:v>
                </c:pt>
                <c:pt idx="3">
                  <c:v>1.25</c:v>
                </c:pt>
                <c:pt idx="4">
                  <c:v>1.52</c:v>
                </c:pt>
                <c:pt idx="5">
                  <c:v>1.62</c:v>
                </c:pt>
              </c:numCache>
            </c:numRef>
          </c:yVal>
          <c:smooth val="1"/>
          <c:extLst xmlns:c16r2="http://schemas.microsoft.com/office/drawing/2015/06/chart">
            <c:ext xmlns:c16="http://schemas.microsoft.com/office/drawing/2014/chart" uri="{C3380CC4-5D6E-409C-BE32-E72D297353CC}">
              <c16:uniqueId val="{00000006-570A-4A36-AD20-CD83A2E3F734}"/>
            </c:ext>
          </c:extLst>
        </c:ser>
        <c:ser>
          <c:idx val="2"/>
          <c:order val="2"/>
          <c:tx>
            <c:strRef>
              <c:f>RocketData!$D$35</c:f>
              <c:strCache>
                <c:ptCount val="1"/>
                <c:pt idx="0">
                  <c:v>3</c:v>
                </c:pt>
              </c:strCache>
            </c:strRef>
          </c:tx>
          <c:spPr>
            <a:ln w="19050" cap="rnd">
              <a:solidFill>
                <a:schemeClr val="accent3"/>
              </a:solidFill>
              <a:round/>
            </a:ln>
            <a:effectLst/>
          </c:spPr>
          <c:marker>
            <c:symbol val="none"/>
          </c:marker>
          <c:yVal>
            <c:numRef>
              <c:f>RocketData!$D$36:$D$41</c:f>
              <c:numCache>
                <c:formatCode>General</c:formatCode>
                <c:ptCount val="6"/>
                <c:pt idx="0">
                  <c:v>0.46600000000000003</c:v>
                </c:pt>
                <c:pt idx="1">
                  <c:v>0.46600000000000003</c:v>
                </c:pt>
                <c:pt idx="2">
                  <c:v>1.59</c:v>
                </c:pt>
                <c:pt idx="3">
                  <c:v>1.84</c:v>
                </c:pt>
                <c:pt idx="4">
                  <c:v>2.08</c:v>
                </c:pt>
                <c:pt idx="5">
                  <c:v>2.12</c:v>
                </c:pt>
              </c:numCache>
            </c:numRef>
          </c:yVal>
          <c:smooth val="1"/>
          <c:extLst xmlns:c16r2="http://schemas.microsoft.com/office/drawing/2015/06/chart">
            <c:ext xmlns:c16="http://schemas.microsoft.com/office/drawing/2014/chart" uri="{C3380CC4-5D6E-409C-BE32-E72D297353CC}">
              <c16:uniqueId val="{00000007-570A-4A36-AD20-CD83A2E3F734}"/>
            </c:ext>
          </c:extLst>
        </c:ser>
        <c:ser>
          <c:idx val="3"/>
          <c:order val="3"/>
          <c:tx>
            <c:strRef>
              <c:f>RocketData!$F$35</c:f>
              <c:strCache>
                <c:ptCount val="1"/>
                <c:pt idx="0">
                  <c:v>6</c:v>
                </c:pt>
              </c:strCache>
            </c:strRef>
          </c:tx>
          <c:spPr>
            <a:ln w="19050" cap="rnd">
              <a:solidFill>
                <a:schemeClr val="accent4"/>
              </a:solidFill>
              <a:round/>
            </a:ln>
            <a:effectLst/>
          </c:spPr>
          <c:marker>
            <c:symbol val="none"/>
          </c:marker>
          <c:yVal>
            <c:numRef>
              <c:f>RocketData!$E$36:$E$41</c:f>
              <c:numCache>
                <c:formatCode>General</c:formatCode>
                <c:ptCount val="6"/>
                <c:pt idx="0">
                  <c:v>0.46600000000000003</c:v>
                </c:pt>
                <c:pt idx="1">
                  <c:v>0.46600000000000003</c:v>
                </c:pt>
                <c:pt idx="2">
                  <c:v>2.1</c:v>
                </c:pt>
                <c:pt idx="3">
                  <c:v>2.4</c:v>
                </c:pt>
                <c:pt idx="4">
                  <c:v>2.6</c:v>
                </c:pt>
                <c:pt idx="5">
                  <c:v>2.6</c:v>
                </c:pt>
              </c:numCache>
            </c:numRef>
          </c:yVal>
          <c:smooth val="1"/>
          <c:extLst xmlns:c16r2="http://schemas.microsoft.com/office/drawing/2015/06/chart">
            <c:ext xmlns:c16="http://schemas.microsoft.com/office/drawing/2014/chart" uri="{C3380CC4-5D6E-409C-BE32-E72D297353CC}">
              <c16:uniqueId val="{00000008-570A-4A36-AD20-CD83A2E3F734}"/>
            </c:ext>
          </c:extLst>
        </c:ser>
        <c:ser>
          <c:idx val="4"/>
          <c:order val="4"/>
          <c:tx>
            <c:strRef>
              <c:f>RocketData!$G$35</c:f>
              <c:strCache>
                <c:ptCount val="1"/>
                <c:pt idx="0">
                  <c:v>7</c:v>
                </c:pt>
              </c:strCache>
            </c:strRef>
          </c:tx>
          <c:spPr>
            <a:ln w="19050" cap="rnd">
              <a:solidFill>
                <a:schemeClr val="accent5"/>
              </a:solidFill>
              <a:round/>
            </a:ln>
            <a:effectLst/>
          </c:spPr>
          <c:marker>
            <c:symbol val="none"/>
          </c:marker>
          <c:yVal>
            <c:numRef>
              <c:f>RocketData!$G$36:$G$41</c:f>
              <c:numCache>
                <c:formatCode>General</c:formatCode>
                <c:ptCount val="6"/>
                <c:pt idx="0">
                  <c:v>0.46600000000000003</c:v>
                </c:pt>
                <c:pt idx="1">
                  <c:v>0.46600000000000003</c:v>
                </c:pt>
                <c:pt idx="2">
                  <c:v>3.35</c:v>
                </c:pt>
                <c:pt idx="3">
                  <c:v>3.43</c:v>
                </c:pt>
                <c:pt idx="4">
                  <c:v>3.74</c:v>
                </c:pt>
                <c:pt idx="5">
                  <c:v>3.74</c:v>
                </c:pt>
              </c:numCache>
            </c:numRef>
          </c:yVal>
          <c:smooth val="1"/>
          <c:extLst xmlns:c16r2="http://schemas.microsoft.com/office/drawing/2015/06/chart">
            <c:ext xmlns:c16="http://schemas.microsoft.com/office/drawing/2014/chart" uri="{C3380CC4-5D6E-409C-BE32-E72D297353CC}">
              <c16:uniqueId val="{00000009-570A-4A36-AD20-CD83A2E3F734}"/>
            </c:ext>
          </c:extLst>
        </c:ser>
        <c:dLbls>
          <c:showLegendKey val="0"/>
          <c:showVal val="0"/>
          <c:showCatName val="0"/>
          <c:showSerName val="0"/>
          <c:showPercent val="0"/>
          <c:showBubbleSize val="0"/>
        </c:dLbls>
        <c:axId val="424940048"/>
        <c:axId val="424944944"/>
      </c:scatterChart>
      <c:valAx>
        <c:axId val="4249400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944944"/>
        <c:crosses val="autoZero"/>
        <c:crossBetween val="midCat"/>
      </c:valAx>
      <c:valAx>
        <c:axId val="424944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94004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RocketData!$B$59</c:f>
              <c:strCache>
                <c:ptCount val="1"/>
                <c:pt idx="0">
                  <c:v>C_NC</c:v>
                </c:pt>
              </c:strCache>
            </c:strRef>
          </c:tx>
          <c:spPr>
            <a:ln w="19050" cap="rnd">
              <a:solidFill>
                <a:schemeClr val="accent1"/>
              </a:solidFill>
              <a:round/>
            </a:ln>
            <a:effectLst/>
          </c:spPr>
          <c:marker>
            <c:symbol val="none"/>
          </c:marker>
          <c:cat>
            <c:numRef>
              <c:f>RocketData!$A$60:$A$66</c:f>
              <c:numCache>
                <c:formatCode>General</c:formatCode>
                <c:ptCount val="7"/>
                <c:pt idx="0">
                  <c:v>0</c:v>
                </c:pt>
                <c:pt idx="1">
                  <c:v>5</c:v>
                </c:pt>
                <c:pt idx="2">
                  <c:v>10</c:v>
                </c:pt>
                <c:pt idx="3">
                  <c:v>15</c:v>
                </c:pt>
                <c:pt idx="4">
                  <c:v>20</c:v>
                </c:pt>
                <c:pt idx="5">
                  <c:v>25</c:v>
                </c:pt>
                <c:pt idx="6">
                  <c:v>30</c:v>
                </c:pt>
              </c:numCache>
            </c:numRef>
          </c:cat>
          <c:val>
            <c:numRef>
              <c:f>RocketData!$B$60:$B$66</c:f>
              <c:numCache>
                <c:formatCode>General</c:formatCode>
                <c:ptCount val="7"/>
                <c:pt idx="0">
                  <c:v>0</c:v>
                </c:pt>
                <c:pt idx="1">
                  <c:v>5.0000000000000001E-3</c:v>
                </c:pt>
                <c:pt idx="2">
                  <c:v>1.4999999999999999E-2</c:v>
                </c:pt>
                <c:pt idx="3">
                  <c:v>3.5000000000000003E-2</c:v>
                </c:pt>
                <c:pt idx="4">
                  <c:v>6.5000000000000002E-2</c:v>
                </c:pt>
                <c:pt idx="5">
                  <c:v>0.11</c:v>
                </c:pt>
                <c:pt idx="6">
                  <c:v>0.17499999999999999</c:v>
                </c:pt>
              </c:numCache>
            </c:numRef>
          </c:val>
          <c:smooth val="0"/>
          <c:extLst xmlns:c16r2="http://schemas.microsoft.com/office/drawing/2015/06/chart">
            <c:ext xmlns:c16="http://schemas.microsoft.com/office/drawing/2014/chart" uri="{C3380CC4-5D6E-409C-BE32-E72D297353CC}">
              <c16:uniqueId val="{00000000-9BC9-49F0-8008-6F9A9577A4DD}"/>
            </c:ext>
          </c:extLst>
        </c:ser>
        <c:dLbls>
          <c:showLegendKey val="0"/>
          <c:showVal val="0"/>
          <c:showCatName val="0"/>
          <c:showSerName val="0"/>
          <c:showPercent val="0"/>
          <c:showBubbleSize val="0"/>
        </c:dLbls>
        <c:marker val="1"/>
        <c:smooth val="0"/>
        <c:axId val="424940592"/>
        <c:axId val="424941680"/>
      </c:lineChart>
      <c:lineChart>
        <c:grouping val="standard"/>
        <c:varyColors val="0"/>
        <c:ser>
          <c:idx val="1"/>
          <c:order val="1"/>
          <c:tx>
            <c:strRef>
              <c:f>RocketData!$C$59</c:f>
              <c:strCache>
                <c:ptCount val="1"/>
                <c:pt idx="0">
                  <c:v>dC_NC</c:v>
                </c:pt>
              </c:strCache>
            </c:strRef>
          </c:tx>
          <c:spPr>
            <a:ln w="19050" cap="rnd">
              <a:solidFill>
                <a:schemeClr val="accent2"/>
              </a:solidFill>
              <a:round/>
            </a:ln>
            <a:effectLst/>
          </c:spPr>
          <c:marker>
            <c:symbol val="none"/>
          </c:marker>
          <c:cat>
            <c:numRef>
              <c:f>RocketData!$A$60:$A$66</c:f>
              <c:numCache>
                <c:formatCode>General</c:formatCode>
                <c:ptCount val="7"/>
                <c:pt idx="0">
                  <c:v>0</c:v>
                </c:pt>
                <c:pt idx="1">
                  <c:v>5</c:v>
                </c:pt>
                <c:pt idx="2">
                  <c:v>10</c:v>
                </c:pt>
                <c:pt idx="3">
                  <c:v>15</c:v>
                </c:pt>
                <c:pt idx="4">
                  <c:v>20</c:v>
                </c:pt>
                <c:pt idx="5">
                  <c:v>25</c:v>
                </c:pt>
                <c:pt idx="6">
                  <c:v>30</c:v>
                </c:pt>
              </c:numCache>
            </c:numRef>
          </c:cat>
          <c:val>
            <c:numRef>
              <c:f>RocketData!$C$60:$C$66</c:f>
              <c:numCache>
                <c:formatCode>0.0000</c:formatCode>
                <c:ptCount val="7"/>
                <c:pt idx="0">
                  <c:v>1E-3</c:v>
                </c:pt>
                <c:pt idx="1">
                  <c:v>1E-3</c:v>
                </c:pt>
                <c:pt idx="2">
                  <c:v>9.999999999999998E-4</c:v>
                </c:pt>
                <c:pt idx="3">
                  <c:v>1.3333333333333335E-3</c:v>
                </c:pt>
                <c:pt idx="4">
                  <c:v>1.5E-3</c:v>
                </c:pt>
                <c:pt idx="5">
                  <c:v>1.8E-3</c:v>
                </c:pt>
                <c:pt idx="6">
                  <c:v>2.1666666666666661E-3</c:v>
                </c:pt>
              </c:numCache>
            </c:numRef>
          </c:val>
          <c:smooth val="0"/>
          <c:extLst xmlns:c16r2="http://schemas.microsoft.com/office/drawing/2015/06/chart">
            <c:ext xmlns:c16="http://schemas.microsoft.com/office/drawing/2014/chart" uri="{C3380CC4-5D6E-409C-BE32-E72D297353CC}">
              <c16:uniqueId val="{00000001-9BC9-49F0-8008-6F9A9577A4DD}"/>
            </c:ext>
          </c:extLst>
        </c:ser>
        <c:dLbls>
          <c:showLegendKey val="0"/>
          <c:showVal val="0"/>
          <c:showCatName val="0"/>
          <c:showSerName val="0"/>
          <c:showPercent val="0"/>
          <c:showBubbleSize val="0"/>
        </c:dLbls>
        <c:marker val="1"/>
        <c:smooth val="0"/>
        <c:axId val="424949296"/>
        <c:axId val="424942768"/>
      </c:lineChart>
      <c:catAx>
        <c:axId val="4249405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941680"/>
        <c:crosses val="autoZero"/>
        <c:auto val="1"/>
        <c:lblAlgn val="ctr"/>
        <c:lblOffset val="100"/>
        <c:noMultiLvlLbl val="0"/>
      </c:catAx>
      <c:valAx>
        <c:axId val="424941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940592"/>
        <c:crosses val="autoZero"/>
        <c:crossBetween val="between"/>
      </c:valAx>
      <c:valAx>
        <c:axId val="424942768"/>
        <c:scaling>
          <c:orientation val="minMax"/>
        </c:scaling>
        <c:delete val="0"/>
        <c:axPos val="r"/>
        <c:numFmt formatCode="0.0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949296"/>
        <c:crosses val="max"/>
        <c:crossBetween val="between"/>
      </c:valAx>
      <c:catAx>
        <c:axId val="424949296"/>
        <c:scaling>
          <c:orientation val="minMax"/>
        </c:scaling>
        <c:delete val="1"/>
        <c:axPos val="b"/>
        <c:numFmt formatCode="General" sourceLinked="1"/>
        <c:majorTickMark val="out"/>
        <c:minorTickMark val="none"/>
        <c:tickLblPos val="nextTo"/>
        <c:crossAx val="424942768"/>
        <c:crosses val="autoZero"/>
        <c:auto val="1"/>
        <c:lblAlgn val="ctr"/>
        <c:lblOffset val="100"/>
        <c:noMultiLvlLbl val="0"/>
      </c:catAx>
      <c:spPr>
        <a:noFill/>
        <a:ln>
          <a:noFill/>
        </a:ln>
        <a:effectLst/>
      </c:spPr>
    </c:plotArea>
    <c:legend>
      <c:legendPos val="r"/>
      <c:layout>
        <c:manualLayout>
          <c:xMode val="edge"/>
          <c:yMode val="edge"/>
          <c:x val="0.78475469412477283"/>
          <c:y val="0.42035325383071959"/>
          <c:w val="0.19426628489620615"/>
          <c:h val="0.159293120703668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RocketData!$B$70</c:f>
              <c:strCache>
                <c:ptCount val="1"/>
                <c:pt idx="0">
                  <c:v>d(C_NC)/da</c:v>
                </c:pt>
              </c:strCache>
            </c:strRef>
          </c:tx>
          <c:spPr>
            <a:ln w="19050" cap="rnd">
              <a:solidFill>
                <a:schemeClr val="accent1"/>
              </a:solidFill>
              <a:round/>
            </a:ln>
            <a:effectLst/>
          </c:spPr>
          <c:marker>
            <c:symbol val="none"/>
          </c:marker>
          <c:xVal>
            <c:numRef>
              <c:f>RocketData!$A$71:$A$83</c:f>
              <c:numCache>
                <c:formatCode>General</c:formatCode>
                <c:ptCount val="13"/>
                <c:pt idx="0">
                  <c:v>0</c:v>
                </c:pt>
                <c:pt idx="1">
                  <c:v>0.5</c:v>
                </c:pt>
                <c:pt idx="2">
                  <c:v>0.7</c:v>
                </c:pt>
                <c:pt idx="3">
                  <c:v>0.8</c:v>
                </c:pt>
                <c:pt idx="4">
                  <c:v>0.9</c:v>
                </c:pt>
                <c:pt idx="5">
                  <c:v>1</c:v>
                </c:pt>
                <c:pt idx="6">
                  <c:v>1.2</c:v>
                </c:pt>
                <c:pt idx="7">
                  <c:v>1.5</c:v>
                </c:pt>
                <c:pt idx="8">
                  <c:v>2</c:v>
                </c:pt>
                <c:pt idx="9">
                  <c:v>2.5</c:v>
                </c:pt>
                <c:pt idx="10">
                  <c:v>3</c:v>
                </c:pt>
                <c:pt idx="11">
                  <c:v>3.5</c:v>
                </c:pt>
                <c:pt idx="12">
                  <c:v>4</c:v>
                </c:pt>
              </c:numCache>
            </c:numRef>
          </c:xVal>
          <c:yVal>
            <c:numRef>
              <c:f>RocketData!$B$71:$B$83</c:f>
              <c:numCache>
                <c:formatCode>General</c:formatCode>
                <c:ptCount val="13"/>
                <c:pt idx="0">
                  <c:v>6.3E-2</c:v>
                </c:pt>
                <c:pt idx="1">
                  <c:v>6.8000000000000005E-2</c:v>
                </c:pt>
                <c:pt idx="2">
                  <c:v>6.9000000000000006E-2</c:v>
                </c:pt>
                <c:pt idx="3">
                  <c:v>6.9000000000000006E-2</c:v>
                </c:pt>
                <c:pt idx="4">
                  <c:v>6.7000000000000004E-2</c:v>
                </c:pt>
                <c:pt idx="5">
                  <c:v>6.6000000000000003E-2</c:v>
                </c:pt>
                <c:pt idx="6">
                  <c:v>6.3E-2</c:v>
                </c:pt>
                <c:pt idx="7">
                  <c:v>5.7000000000000002E-2</c:v>
                </c:pt>
                <c:pt idx="8">
                  <c:v>0.06</c:v>
                </c:pt>
                <c:pt idx="9">
                  <c:v>6.6000000000000003E-2</c:v>
                </c:pt>
                <c:pt idx="10">
                  <c:v>7.6999999999999999E-2</c:v>
                </c:pt>
                <c:pt idx="11">
                  <c:v>9.1999999999999998E-2</c:v>
                </c:pt>
                <c:pt idx="12">
                  <c:v>0.115</c:v>
                </c:pt>
              </c:numCache>
            </c:numRef>
          </c:yVal>
          <c:smooth val="1"/>
          <c:extLst xmlns:c16r2="http://schemas.microsoft.com/office/drawing/2015/06/chart">
            <c:ext xmlns:c16="http://schemas.microsoft.com/office/drawing/2014/chart" uri="{C3380CC4-5D6E-409C-BE32-E72D297353CC}">
              <c16:uniqueId val="{00000000-36BC-49B2-B7D3-0B4372FB43FE}"/>
            </c:ext>
          </c:extLst>
        </c:ser>
        <c:dLbls>
          <c:showLegendKey val="0"/>
          <c:showVal val="0"/>
          <c:showCatName val="0"/>
          <c:showSerName val="0"/>
          <c:showPercent val="0"/>
          <c:showBubbleSize val="0"/>
        </c:dLbls>
        <c:axId val="424949840"/>
        <c:axId val="424943312"/>
      </c:scatterChart>
      <c:valAx>
        <c:axId val="424949840"/>
        <c:scaling>
          <c:orientation val="minMax"/>
          <c:max val="4"/>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943312"/>
        <c:crosses val="autoZero"/>
        <c:crossBetween val="midCat"/>
      </c:valAx>
      <c:valAx>
        <c:axId val="424943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949840"/>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scatterChart>
        <c:scatterStyle val="lineMarker"/>
        <c:varyColors val="0"/>
        <c:ser>
          <c:idx val="1"/>
          <c:order val="0"/>
          <c:tx>
            <c:v>FIN</c:v>
          </c:tx>
          <c:spPr>
            <a:ln w="19050" cap="rnd">
              <a:solidFill>
                <a:schemeClr val="accent1">
                  <a:shade val="76000"/>
                </a:schemeClr>
              </a:solidFill>
              <a:round/>
            </a:ln>
            <a:effectLst/>
          </c:spPr>
          <c:marker>
            <c:symbol val="none"/>
          </c:marker>
          <c:xVal>
            <c:numRef>
              <c:f>Geometry!$H$50:$H$59</c:f>
              <c:numCache>
                <c:formatCode>0.000</c:formatCode>
                <c:ptCount val="10"/>
                <c:pt idx="0">
                  <c:v>110</c:v>
                </c:pt>
                <c:pt idx="1">
                  <c:v>110.9375</c:v>
                </c:pt>
                <c:pt idx="2">
                  <c:v>112.8125</c:v>
                </c:pt>
                <c:pt idx="3">
                  <c:v>114.6875</c:v>
                </c:pt>
                <c:pt idx="4">
                  <c:v>116.5625</c:v>
                </c:pt>
                <c:pt idx="5">
                  <c:v>118.4375</c:v>
                </c:pt>
                <c:pt idx="6">
                  <c:v>120.3125</c:v>
                </c:pt>
                <c:pt idx="7">
                  <c:v>122.1875</c:v>
                </c:pt>
                <c:pt idx="8">
                  <c:v>125</c:v>
                </c:pt>
                <c:pt idx="9">
                  <c:v>125</c:v>
                </c:pt>
              </c:numCache>
            </c:numRef>
          </c:xVal>
          <c:yVal>
            <c:numRef>
              <c:f>Geometry!$I$50:$I$59</c:f>
              <c:numCache>
                <c:formatCode>0.000</c:formatCode>
                <c:ptCount val="10"/>
                <c:pt idx="0">
                  <c:v>6.35</c:v>
                </c:pt>
                <c:pt idx="1">
                  <c:v>10.1</c:v>
                </c:pt>
                <c:pt idx="2">
                  <c:v>17.600000000000001</c:v>
                </c:pt>
                <c:pt idx="3">
                  <c:v>25.1</c:v>
                </c:pt>
                <c:pt idx="4">
                  <c:v>26.35</c:v>
                </c:pt>
                <c:pt idx="5">
                  <c:v>26.35</c:v>
                </c:pt>
                <c:pt idx="6">
                  <c:v>26.35</c:v>
                </c:pt>
                <c:pt idx="7">
                  <c:v>26.35</c:v>
                </c:pt>
                <c:pt idx="8">
                  <c:v>26.35</c:v>
                </c:pt>
                <c:pt idx="9">
                  <c:v>6.35</c:v>
                </c:pt>
              </c:numCache>
            </c:numRef>
          </c:yVal>
          <c:smooth val="0"/>
          <c:extLst xmlns:c16r2="http://schemas.microsoft.com/office/drawing/2015/06/chart">
            <c:ext xmlns:c16="http://schemas.microsoft.com/office/drawing/2014/chart" uri="{C3380CC4-5D6E-409C-BE32-E72D297353CC}">
              <c16:uniqueId val="{00000000-3F71-4502-BC54-8C60C33AEA28}"/>
            </c:ext>
          </c:extLst>
        </c:ser>
        <c:ser>
          <c:idx val="0"/>
          <c:order val="1"/>
          <c:tx>
            <c:v>AERO FIN</c:v>
          </c:tx>
          <c:spPr>
            <a:ln w="19050" cap="rnd">
              <a:solidFill>
                <a:schemeClr val="accent1">
                  <a:tint val="77000"/>
                </a:schemeClr>
              </a:solidFill>
              <a:round/>
            </a:ln>
            <a:effectLst/>
          </c:spPr>
          <c:marker>
            <c:symbol val="none"/>
          </c:marker>
          <c:xVal>
            <c:numRef>
              <c:f>Geometry!$K$50:$K$59</c:f>
              <c:numCache>
                <c:formatCode>0.000</c:formatCode>
                <c:ptCount val="10"/>
                <c:pt idx="0">
                  <c:v>84.59999999999998</c:v>
                </c:pt>
                <c:pt idx="1">
                  <c:v>110</c:v>
                </c:pt>
                <c:pt idx="2">
                  <c:v>110.9375</c:v>
                </c:pt>
                <c:pt idx="3">
                  <c:v>112.8125</c:v>
                </c:pt>
                <c:pt idx="4">
                  <c:v>114.6875</c:v>
                </c:pt>
                <c:pt idx="5">
                  <c:v>116.5625</c:v>
                </c:pt>
                <c:pt idx="6">
                  <c:v>118.4375</c:v>
                </c:pt>
                <c:pt idx="7">
                  <c:v>120.3125</c:v>
                </c:pt>
                <c:pt idx="8">
                  <c:v>125</c:v>
                </c:pt>
                <c:pt idx="9">
                  <c:v>125</c:v>
                </c:pt>
              </c:numCache>
            </c:numRef>
          </c:xVal>
          <c:yVal>
            <c:numRef>
              <c:f>Geometry!$L$50:$L$59</c:f>
              <c:numCache>
                <c:formatCode>0.000</c:formatCode>
                <c:ptCount val="10"/>
                <c:pt idx="0">
                  <c:v>0</c:v>
                </c:pt>
                <c:pt idx="1">
                  <c:v>3</c:v>
                </c:pt>
                <c:pt idx="2">
                  <c:v>10.1</c:v>
                </c:pt>
                <c:pt idx="3">
                  <c:v>17.600000000000001</c:v>
                </c:pt>
                <c:pt idx="4">
                  <c:v>25.1</c:v>
                </c:pt>
                <c:pt idx="5">
                  <c:v>26.35</c:v>
                </c:pt>
                <c:pt idx="6">
                  <c:v>26.35</c:v>
                </c:pt>
                <c:pt idx="7">
                  <c:v>26.35</c:v>
                </c:pt>
                <c:pt idx="8">
                  <c:v>26.35</c:v>
                </c:pt>
                <c:pt idx="9">
                  <c:v>0</c:v>
                </c:pt>
              </c:numCache>
            </c:numRef>
          </c:yVal>
          <c:smooth val="0"/>
          <c:extLst xmlns:c16r2="http://schemas.microsoft.com/office/drawing/2015/06/chart">
            <c:ext xmlns:c16="http://schemas.microsoft.com/office/drawing/2014/chart" uri="{C3380CC4-5D6E-409C-BE32-E72D297353CC}">
              <c16:uniqueId val="{00000001-3F71-4502-BC54-8C60C33AEA28}"/>
            </c:ext>
          </c:extLst>
        </c:ser>
        <c:dLbls>
          <c:showLegendKey val="0"/>
          <c:showVal val="0"/>
          <c:showCatName val="0"/>
          <c:showSerName val="0"/>
          <c:showPercent val="0"/>
          <c:showBubbleSize val="0"/>
        </c:dLbls>
        <c:axId val="424945488"/>
        <c:axId val="424946032"/>
      </c:scatterChart>
      <c:valAx>
        <c:axId val="424945488"/>
        <c:scaling>
          <c:orientation val="minMax"/>
          <c:min val="5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24946032"/>
        <c:crosses val="autoZero"/>
        <c:crossBetween val="midCat"/>
      </c:valAx>
      <c:valAx>
        <c:axId val="424946032"/>
        <c:scaling>
          <c:orientation val="minMax"/>
          <c:max val="14"/>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24945488"/>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[ESTYCTRL HRD-02 Diseño Aerodinámico y dinámico Rev.1 (1).xlsx]Aerodynamic design!PivotTable1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s>
    <c:plotArea>
      <c:layout/>
      <c:barChart>
        <c:barDir val="col"/>
        <c:grouping val="clustered"/>
        <c:varyColors val="0"/>
        <c:ser>
          <c:idx val="0"/>
          <c:order val="0"/>
          <c:tx>
            <c:strRef>
              <c:f>'Aerodynamic design'!$K$3</c:f>
              <c:strCache>
                <c:ptCount val="1"/>
                <c:pt idx="0">
                  <c:v>Sum of Drag (interfered)</c:v>
                </c:pt>
              </c:strCache>
            </c:strRef>
          </c:tx>
          <c:spPr>
            <a:solidFill>
              <a:schemeClr val="accent1"/>
            </a:solidFill>
            <a:ln>
              <a:noFill/>
            </a:ln>
            <a:effectLst/>
          </c:spPr>
          <c:invertIfNegative val="0"/>
          <c:cat>
            <c:strRef>
              <c:f>'Aerodynamic design'!$J$4:$J$25</c:f>
              <c:strCache>
                <c:ptCount val="21"/>
                <c:pt idx="0">
                  <c:v>0.0036</c:v>
                </c:pt>
                <c:pt idx="1">
                  <c:v>0.0107</c:v>
                </c:pt>
                <c:pt idx="2">
                  <c:v>0.0179</c:v>
                </c:pt>
                <c:pt idx="3">
                  <c:v>0.0250</c:v>
                </c:pt>
                <c:pt idx="4">
                  <c:v>0.0321</c:v>
                </c:pt>
                <c:pt idx="5">
                  <c:v>0.0393</c:v>
                </c:pt>
                <c:pt idx="6">
                  <c:v>0.0464</c:v>
                </c:pt>
                <c:pt idx="7">
                  <c:v>0.0536</c:v>
                </c:pt>
                <c:pt idx="8">
                  <c:v>0.0607</c:v>
                </c:pt>
                <c:pt idx="9">
                  <c:v>0.0679</c:v>
                </c:pt>
                <c:pt idx="10">
                  <c:v>0.0750</c:v>
                </c:pt>
                <c:pt idx="11">
                  <c:v>0.0821</c:v>
                </c:pt>
                <c:pt idx="12">
                  <c:v>0.0893</c:v>
                </c:pt>
                <c:pt idx="13">
                  <c:v>0.0964</c:v>
                </c:pt>
                <c:pt idx="14">
                  <c:v>0.1036</c:v>
                </c:pt>
                <c:pt idx="15">
                  <c:v>0.1107</c:v>
                </c:pt>
                <c:pt idx="16">
                  <c:v>0.1179</c:v>
                </c:pt>
                <c:pt idx="17">
                  <c:v>0.1250</c:v>
                </c:pt>
                <c:pt idx="18">
                  <c:v>0.1321</c:v>
                </c:pt>
                <c:pt idx="19">
                  <c:v>0.1393</c:v>
                </c:pt>
                <c:pt idx="20">
                  <c:v>0.1464</c:v>
                </c:pt>
              </c:strCache>
            </c:strRef>
          </c:cat>
          <c:val>
            <c:numRef>
              <c:f>'Aerodynamic design'!$K$4:$K$25</c:f>
              <c:numCache>
                <c:formatCode>0.0000</c:formatCode>
                <c:ptCount val="21"/>
                <c:pt idx="0">
                  <c:v>0</c:v>
                </c:pt>
                <c:pt idx="1">
                  <c:v>0</c:v>
                </c:pt>
                <c:pt idx="2">
                  <c:v>0</c:v>
                </c:pt>
                <c:pt idx="3">
                  <c:v>0</c:v>
                </c:pt>
                <c:pt idx="4">
                  <c:v>0</c:v>
                </c:pt>
                <c:pt idx="5">
                  <c:v>0</c:v>
                </c:pt>
                <c:pt idx="6">
                  <c:v>1.0149812527815203</c:v>
                </c:pt>
                <c:pt idx="7">
                  <c:v>0.97517806639793125</c:v>
                </c:pt>
                <c:pt idx="8">
                  <c:v>0.9353748800143421</c:v>
                </c:pt>
                <c:pt idx="9">
                  <c:v>0.89557169363075317</c:v>
                </c:pt>
                <c:pt idx="10">
                  <c:v>0.85576850724716402</c:v>
                </c:pt>
                <c:pt idx="11">
                  <c:v>0.81596532086357498</c:v>
                </c:pt>
                <c:pt idx="12">
                  <c:v>0.77616213447998594</c:v>
                </c:pt>
                <c:pt idx="13">
                  <c:v>0.7363589480963969</c:v>
                </c:pt>
                <c:pt idx="14">
                  <c:v>0.69655576171280786</c:v>
                </c:pt>
                <c:pt idx="15">
                  <c:v>0.65675257532921893</c:v>
                </c:pt>
                <c:pt idx="16">
                  <c:v>0.61694938894562978</c:v>
                </c:pt>
                <c:pt idx="17">
                  <c:v>0.57714620256204074</c:v>
                </c:pt>
                <c:pt idx="18">
                  <c:v>0.53734301617845182</c:v>
                </c:pt>
                <c:pt idx="19">
                  <c:v>0.49753982979486266</c:v>
                </c:pt>
                <c:pt idx="20">
                  <c:v>0.45773664341127362</c:v>
                </c:pt>
              </c:numCache>
            </c:numRef>
          </c:val>
          <c:extLst xmlns:c16r2="http://schemas.microsoft.com/office/drawing/2015/06/chart">
            <c:ext xmlns:c16="http://schemas.microsoft.com/office/drawing/2014/chart" uri="{C3380CC4-5D6E-409C-BE32-E72D297353CC}">
              <c16:uniqueId val="{00000002-2A5D-468C-BAA8-653F6B662B2F}"/>
            </c:ext>
          </c:extLst>
        </c:ser>
        <c:ser>
          <c:idx val="1"/>
          <c:order val="1"/>
          <c:tx>
            <c:strRef>
              <c:f>'Aerodynamic design'!$L$3</c:f>
              <c:strCache>
                <c:ptCount val="1"/>
                <c:pt idx="0">
                  <c:v>Sum of Lift (interfered</c:v>
                </c:pt>
              </c:strCache>
            </c:strRef>
          </c:tx>
          <c:spPr>
            <a:solidFill>
              <a:schemeClr val="accent2"/>
            </a:solidFill>
            <a:ln>
              <a:noFill/>
            </a:ln>
            <a:effectLst/>
          </c:spPr>
          <c:invertIfNegative val="0"/>
          <c:cat>
            <c:strRef>
              <c:f>'Aerodynamic design'!$J$4:$J$25</c:f>
              <c:strCache>
                <c:ptCount val="21"/>
                <c:pt idx="0">
                  <c:v>0.0036</c:v>
                </c:pt>
                <c:pt idx="1">
                  <c:v>0.0107</c:v>
                </c:pt>
                <c:pt idx="2">
                  <c:v>0.0179</c:v>
                </c:pt>
                <c:pt idx="3">
                  <c:v>0.0250</c:v>
                </c:pt>
                <c:pt idx="4">
                  <c:v>0.0321</c:v>
                </c:pt>
                <c:pt idx="5">
                  <c:v>0.0393</c:v>
                </c:pt>
                <c:pt idx="6">
                  <c:v>0.0464</c:v>
                </c:pt>
                <c:pt idx="7">
                  <c:v>0.0536</c:v>
                </c:pt>
                <c:pt idx="8">
                  <c:v>0.0607</c:v>
                </c:pt>
                <c:pt idx="9">
                  <c:v>0.0679</c:v>
                </c:pt>
                <c:pt idx="10">
                  <c:v>0.0750</c:v>
                </c:pt>
                <c:pt idx="11">
                  <c:v>0.0821</c:v>
                </c:pt>
                <c:pt idx="12">
                  <c:v>0.0893</c:v>
                </c:pt>
                <c:pt idx="13">
                  <c:v>0.0964</c:v>
                </c:pt>
                <c:pt idx="14">
                  <c:v>0.1036</c:v>
                </c:pt>
                <c:pt idx="15">
                  <c:v>0.1107</c:v>
                </c:pt>
                <c:pt idx="16">
                  <c:v>0.1179</c:v>
                </c:pt>
                <c:pt idx="17">
                  <c:v>0.1250</c:v>
                </c:pt>
                <c:pt idx="18">
                  <c:v>0.1321</c:v>
                </c:pt>
                <c:pt idx="19">
                  <c:v>0.1393</c:v>
                </c:pt>
                <c:pt idx="20">
                  <c:v>0.1464</c:v>
                </c:pt>
              </c:strCache>
            </c:strRef>
          </c:cat>
          <c:val>
            <c:numRef>
              <c:f>'Aerodynamic design'!$L$4:$L$25</c:f>
              <c:numCache>
                <c:formatCode>0.0000</c:formatCode>
                <c:ptCount val="21"/>
                <c:pt idx="0">
                  <c:v>0</c:v>
                </c:pt>
                <c:pt idx="1">
                  <c:v>0</c:v>
                </c:pt>
                <c:pt idx="2">
                  <c:v>0</c:v>
                </c:pt>
                <c:pt idx="3">
                  <c:v>0</c:v>
                </c:pt>
                <c:pt idx="4">
                  <c:v>0</c:v>
                </c:pt>
                <c:pt idx="5">
                  <c:v>0</c:v>
                </c:pt>
                <c:pt idx="6">
                  <c:v>1.2936505973753243</c:v>
                </c:pt>
                <c:pt idx="7">
                  <c:v>1.2429192013998214</c:v>
                </c:pt>
                <c:pt idx="8">
                  <c:v>1.1921878054243182</c:v>
                </c:pt>
                <c:pt idx="9">
                  <c:v>1.1414564094488155</c:v>
                </c:pt>
                <c:pt idx="10">
                  <c:v>1.0907250134733124</c:v>
                </c:pt>
                <c:pt idx="11">
                  <c:v>1.0399936174978095</c:v>
                </c:pt>
                <c:pt idx="12">
                  <c:v>0.98926222152230658</c:v>
                </c:pt>
                <c:pt idx="13">
                  <c:v>0.93853082554680367</c:v>
                </c:pt>
                <c:pt idx="14">
                  <c:v>0.88779942957130065</c:v>
                </c:pt>
                <c:pt idx="15">
                  <c:v>0.83706803359579784</c:v>
                </c:pt>
                <c:pt idx="16">
                  <c:v>0.78633663762029482</c:v>
                </c:pt>
                <c:pt idx="17">
                  <c:v>0.73560524164479191</c:v>
                </c:pt>
                <c:pt idx="18">
                  <c:v>0.68487384566928911</c:v>
                </c:pt>
                <c:pt idx="19">
                  <c:v>0.63414244969378608</c:v>
                </c:pt>
                <c:pt idx="20">
                  <c:v>0.58341105371828317</c:v>
                </c:pt>
              </c:numCache>
            </c:numRef>
          </c:val>
          <c:extLst xmlns:c16r2="http://schemas.microsoft.com/office/drawing/2015/06/chart">
            <c:ext xmlns:c16="http://schemas.microsoft.com/office/drawing/2014/chart" uri="{C3380CC4-5D6E-409C-BE32-E72D297353CC}">
              <c16:uniqueId val="{0000001A-2A5D-468C-BAA8-653F6B662B2F}"/>
            </c:ext>
          </c:extLst>
        </c:ser>
        <c:dLbls>
          <c:showLegendKey val="0"/>
          <c:showVal val="0"/>
          <c:showCatName val="0"/>
          <c:showSerName val="0"/>
          <c:showPercent val="0"/>
          <c:showBubbleSize val="0"/>
        </c:dLbls>
        <c:gapWidth val="219"/>
        <c:overlap val="-27"/>
        <c:axId val="424946576"/>
        <c:axId val="424948208"/>
      </c:barChart>
      <c:catAx>
        <c:axId val="424946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24948208"/>
        <c:crosses val="autoZero"/>
        <c:auto val="1"/>
        <c:lblAlgn val="ctr"/>
        <c:lblOffset val="100"/>
        <c:noMultiLvlLbl val="0"/>
      </c:catAx>
      <c:valAx>
        <c:axId val="424948208"/>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24946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2000"/>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
                <a:ea typeface="+mn-ea"/>
                <a:cs typeface="Times New Roman" panose="02020603050405020304" pitchFamily="18" charset="0"/>
              </a:defRPr>
            </a:pPr>
            <a:r>
              <a:rPr lang="es-MX"/>
              <a:t>Critical Mach </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
              <a:ea typeface="+mn-ea"/>
              <a:cs typeface="Times New Roman" panose="02020603050405020304" pitchFamily="18" charset="0"/>
            </a:defRPr>
          </a:pPr>
          <a:endParaRPr lang="en-US"/>
        </a:p>
      </c:txPr>
    </c:title>
    <c:autoTitleDeleted val="0"/>
    <c:plotArea>
      <c:layout/>
      <c:scatterChart>
        <c:scatterStyle val="smoothMarker"/>
        <c:varyColors val="0"/>
        <c:ser>
          <c:idx val="0"/>
          <c:order val="0"/>
          <c:tx>
            <c:strRef>
              <c:f>'Manual rev.1'!$B$166</c:f>
              <c:strCache>
                <c:ptCount val="1"/>
                <c:pt idx="0">
                  <c:v>Cp,cr</c:v>
                </c:pt>
              </c:strCache>
            </c:strRef>
          </c:tx>
          <c:spPr>
            <a:ln w="19050" cap="rnd">
              <a:solidFill>
                <a:schemeClr val="accent1"/>
              </a:solidFill>
              <a:round/>
            </a:ln>
            <a:effectLst/>
          </c:spPr>
          <c:marker>
            <c:symbol val="none"/>
          </c:marker>
          <c:xVal>
            <c:numRef>
              <c:f>'Manual rev.1'!$A$167:$A$187</c:f>
              <c:numCache>
                <c:formatCode>0.00</c:formatCode>
                <c:ptCount val="21"/>
                <c:pt idx="0">
                  <c:v>0.5</c:v>
                </c:pt>
                <c:pt idx="1">
                  <c:v>0.52500000000000002</c:v>
                </c:pt>
                <c:pt idx="2">
                  <c:v>0.55000000000000004</c:v>
                </c:pt>
                <c:pt idx="3">
                  <c:v>0.57500000000000007</c:v>
                </c:pt>
                <c:pt idx="4">
                  <c:v>0.60000000000000009</c:v>
                </c:pt>
                <c:pt idx="5">
                  <c:v>0.62500000000000011</c:v>
                </c:pt>
                <c:pt idx="6">
                  <c:v>0.65000000000000013</c:v>
                </c:pt>
                <c:pt idx="7">
                  <c:v>0.67500000000000016</c:v>
                </c:pt>
                <c:pt idx="8">
                  <c:v>0.70000000000000018</c:v>
                </c:pt>
                <c:pt idx="9">
                  <c:v>0.7250000000000002</c:v>
                </c:pt>
                <c:pt idx="10">
                  <c:v>0.75000000000000022</c:v>
                </c:pt>
                <c:pt idx="11">
                  <c:v>0.77500000000000024</c:v>
                </c:pt>
                <c:pt idx="12">
                  <c:v>0.80000000000000027</c:v>
                </c:pt>
                <c:pt idx="13">
                  <c:v>0.82500000000000029</c:v>
                </c:pt>
                <c:pt idx="14">
                  <c:v>0.85000000000000031</c:v>
                </c:pt>
                <c:pt idx="15">
                  <c:v>0.87500000000000033</c:v>
                </c:pt>
                <c:pt idx="16">
                  <c:v>0.90000000000000036</c:v>
                </c:pt>
                <c:pt idx="17">
                  <c:v>0.92500000000000038</c:v>
                </c:pt>
                <c:pt idx="18">
                  <c:v>0.9500000000000004</c:v>
                </c:pt>
                <c:pt idx="19">
                  <c:v>0.97500000000000042</c:v>
                </c:pt>
                <c:pt idx="20">
                  <c:v>1.0000000000000004</c:v>
                </c:pt>
              </c:numCache>
            </c:numRef>
          </c:xVal>
          <c:yVal>
            <c:numRef>
              <c:f>'Manual rev.1'!$B$167:$B$187</c:f>
              <c:numCache>
                <c:formatCode>0.00</c:formatCode>
                <c:ptCount val="21"/>
                <c:pt idx="0">
                  <c:v>-2.133402668349714</c:v>
                </c:pt>
                <c:pt idx="1">
                  <c:v>-1.8792336576441555</c:v>
                </c:pt>
                <c:pt idx="2">
                  <c:v>-1.6582622168975083</c:v>
                </c:pt>
                <c:pt idx="3">
                  <c:v>-1.464806802032955</c:v>
                </c:pt>
                <c:pt idx="4">
                  <c:v>-1.2943435904552825</c:v>
                </c:pt>
                <c:pt idx="5">
                  <c:v>-1.1432343202924669</c:v>
                </c:pt>
                <c:pt idx="6">
                  <c:v>-1.0085259417860786</c:v>
                </c:pt>
                <c:pt idx="7">
                  <c:v>-0.88780121440446147</c:v>
                </c:pt>
                <c:pt idx="8">
                  <c:v>-0.77906596455962962</c:v>
                </c:pt>
                <c:pt idx="9">
                  <c:v>-0.68066307202112553</c:v>
                </c:pt>
                <c:pt idx="10">
                  <c:v>-0.59120618074665254</c:v>
                </c:pt>
                <c:pt idx="11">
                  <c:v>-0.50952812909954748</c:v>
                </c:pt>
                <c:pt idx="12">
                  <c:v>-0.43464047915522891</c:v>
                </c:pt>
                <c:pt idx="13">
                  <c:v>-0.36570149657757012</c:v>
                </c:pt>
                <c:pt idx="14">
                  <c:v>-0.30199062290533707</c:v>
                </c:pt>
                <c:pt idx="15">
                  <c:v>-0.24288797814629501</c:v>
                </c:pt>
                <c:pt idx="16">
                  <c:v>-0.18785779183683954</c:v>
                </c:pt>
                <c:pt idx="17">
                  <c:v>-0.13643492498851681</c:v>
                </c:pt>
                <c:pt idx="18">
                  <c:v>-8.8213841015504529E-2</c:v>
                </c:pt>
                <c:pt idx="19">
                  <c:v>-4.2839529905831897E-2</c:v>
                </c:pt>
                <c:pt idx="20">
                  <c:v>1.2688263138573206E-15</c:v>
                </c:pt>
              </c:numCache>
            </c:numRef>
          </c:yVal>
          <c:smooth val="1"/>
          <c:extLst xmlns:c16r2="http://schemas.microsoft.com/office/drawing/2015/06/chart">
            <c:ext xmlns:c16="http://schemas.microsoft.com/office/drawing/2014/chart" uri="{C3380CC4-5D6E-409C-BE32-E72D297353CC}">
              <c16:uniqueId val="{00000000-BFB2-45B1-BE2E-D996ABC7ADF7}"/>
            </c:ext>
          </c:extLst>
        </c:ser>
        <c:ser>
          <c:idx val="1"/>
          <c:order val="1"/>
          <c:tx>
            <c:v>Mach vs Cp</c:v>
          </c:tx>
          <c:spPr>
            <a:ln w="19050" cap="rnd">
              <a:solidFill>
                <a:schemeClr val="accent2"/>
              </a:solidFill>
              <a:round/>
            </a:ln>
            <a:effectLst/>
          </c:spPr>
          <c:marker>
            <c:symbol val="none"/>
          </c:marker>
          <c:xVal>
            <c:numRef>
              <c:f>'Manual rev.1'!$A$167:$A$187</c:f>
              <c:numCache>
                <c:formatCode>0.00</c:formatCode>
                <c:ptCount val="21"/>
                <c:pt idx="0">
                  <c:v>0.5</c:v>
                </c:pt>
                <c:pt idx="1">
                  <c:v>0.52500000000000002</c:v>
                </c:pt>
                <c:pt idx="2">
                  <c:v>0.55000000000000004</c:v>
                </c:pt>
                <c:pt idx="3">
                  <c:v>0.57500000000000007</c:v>
                </c:pt>
                <c:pt idx="4">
                  <c:v>0.60000000000000009</c:v>
                </c:pt>
                <c:pt idx="5">
                  <c:v>0.62500000000000011</c:v>
                </c:pt>
                <c:pt idx="6">
                  <c:v>0.65000000000000013</c:v>
                </c:pt>
                <c:pt idx="7">
                  <c:v>0.67500000000000016</c:v>
                </c:pt>
                <c:pt idx="8">
                  <c:v>0.70000000000000018</c:v>
                </c:pt>
                <c:pt idx="9">
                  <c:v>0.7250000000000002</c:v>
                </c:pt>
                <c:pt idx="10">
                  <c:v>0.75000000000000022</c:v>
                </c:pt>
                <c:pt idx="11">
                  <c:v>0.77500000000000024</c:v>
                </c:pt>
                <c:pt idx="12">
                  <c:v>0.80000000000000027</c:v>
                </c:pt>
                <c:pt idx="13">
                  <c:v>0.82500000000000029</c:v>
                </c:pt>
                <c:pt idx="14">
                  <c:v>0.85000000000000031</c:v>
                </c:pt>
                <c:pt idx="15">
                  <c:v>0.87500000000000033</c:v>
                </c:pt>
                <c:pt idx="16">
                  <c:v>0.90000000000000036</c:v>
                </c:pt>
                <c:pt idx="17">
                  <c:v>0.92500000000000038</c:v>
                </c:pt>
                <c:pt idx="18">
                  <c:v>0.9500000000000004</c:v>
                </c:pt>
                <c:pt idx="19">
                  <c:v>0.97500000000000042</c:v>
                </c:pt>
                <c:pt idx="20">
                  <c:v>1.0000000000000004</c:v>
                </c:pt>
              </c:numCache>
            </c:numRef>
          </c:xVal>
          <c:yVal>
            <c:numRef>
              <c:f>'Manual rev.1'!$C$167:$C$187</c:f>
              <c:numCache>
                <c:formatCode>General</c:formatCode>
                <c:ptCount val="21"/>
                <c:pt idx="0">
                  <c:v>-0.13856406460551018</c:v>
                </c:pt>
                <c:pt idx="1">
                  <c:v>-0.14099363890705119</c:v>
                </c:pt>
                <c:pt idx="2">
                  <c:v>-0.14368424162141991</c:v>
                </c:pt>
                <c:pt idx="3">
                  <c:v>-0.14667175952451381</c:v>
                </c:pt>
                <c:pt idx="4">
                  <c:v>-0.15</c:v>
                </c:pt>
                <c:pt idx="5">
                  <c:v>-0.15372302765288365</c:v>
                </c:pt>
                <c:pt idx="6">
                  <c:v>-0.15790840679034457</c:v>
                </c:pt>
                <c:pt idx="7">
                  <c:v>-0.16264179541720736</c:v>
                </c:pt>
                <c:pt idx="8">
                  <c:v>-0.16803361008336121</c:v>
                </c:pt>
                <c:pt idx="9">
                  <c:v>-0.17422896207375071</c:v>
                </c:pt>
                <c:pt idx="10">
                  <c:v>-0.18142294704442916</c:v>
                </c:pt>
                <c:pt idx="11">
                  <c:v>-0.18988506531101662</c:v>
                </c:pt>
                <c:pt idx="12">
                  <c:v>-0.20000000000000012</c:v>
                </c:pt>
                <c:pt idx="13">
                  <c:v>-0.21233949849782838</c:v>
                </c:pt>
                <c:pt idx="14">
                  <c:v>-0.22779791898059995</c:v>
                </c:pt>
                <c:pt idx="15">
                  <c:v>-0.24787093415727499</c:v>
                </c:pt>
                <c:pt idx="16">
                  <c:v>-0.27529888064467456</c:v>
                </c:pt>
                <c:pt idx="17">
                  <c:v>-0.31581681358068991</c:v>
                </c:pt>
                <c:pt idx="18">
                  <c:v>-0.38430756913221059</c:v>
                </c:pt>
                <c:pt idx="19">
                  <c:v>-0.54004219244449603</c:v>
                </c:pt>
                <c:pt idx="20">
                  <c:v>-2.13</c:v>
                </c:pt>
              </c:numCache>
            </c:numRef>
          </c:yVal>
          <c:smooth val="1"/>
          <c:extLst xmlns:c16r2="http://schemas.microsoft.com/office/drawing/2015/06/chart">
            <c:ext xmlns:c16="http://schemas.microsoft.com/office/drawing/2014/chart" uri="{C3380CC4-5D6E-409C-BE32-E72D297353CC}">
              <c16:uniqueId val="{00000001-BFB2-45B1-BE2E-D996ABC7ADF7}"/>
            </c:ext>
          </c:extLst>
        </c:ser>
        <c:dLbls>
          <c:showLegendKey val="0"/>
          <c:showVal val="0"/>
          <c:showCatName val="0"/>
          <c:showSerName val="0"/>
          <c:showPercent val="0"/>
          <c:showBubbleSize val="0"/>
        </c:dLbls>
        <c:axId val="322606032"/>
        <c:axId val="322606576"/>
      </c:scatterChart>
      <c:valAx>
        <c:axId val="322606032"/>
        <c:scaling>
          <c:orientation val="minMax"/>
        </c:scaling>
        <c:delete val="0"/>
        <c:axPos val="t"/>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t" anchorCtr="1"/>
          <a:lstStyle/>
          <a:p>
            <a:pPr>
              <a:defRPr sz="1000" b="0" i="0" u="none" strike="noStrike" kern="1200" baseline="0">
                <a:solidFill>
                  <a:schemeClr val="tx1">
                    <a:lumMod val="65000"/>
                    <a:lumOff val="35000"/>
                  </a:schemeClr>
                </a:solidFill>
                <a:latin typeface="Time"/>
                <a:ea typeface="+mn-ea"/>
                <a:cs typeface="Times New Roman" panose="02020603050405020304" pitchFamily="18" charset="0"/>
              </a:defRPr>
            </a:pPr>
            <a:endParaRPr lang="en-US"/>
          </a:p>
        </c:txPr>
        <c:crossAx val="322606576"/>
        <c:crossesAt val="0"/>
        <c:crossBetween val="midCat"/>
      </c:valAx>
      <c:valAx>
        <c:axId val="322606576"/>
        <c:scaling>
          <c:orientation val="maxMin"/>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Time"/>
                <a:ea typeface="+mn-ea"/>
                <a:cs typeface="Times New Roman" panose="02020603050405020304" pitchFamily="18" charset="0"/>
              </a:defRPr>
            </a:pPr>
            <a:endParaRPr lang="en-US"/>
          </a:p>
        </c:txPr>
        <c:crossAx val="32260603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
              <a:ea typeface="+mn-ea"/>
              <a:cs typeface="Times New Roman" panose="02020603050405020304" pitchFamily="18" charset="0"/>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000">
          <a:latin typeface="Time"/>
          <a:cs typeface="Times New Roman" panose="02020603050405020304" pitchFamily="18"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Pressure distribution</a:t>
            </a:r>
            <a:r>
              <a:rPr lang="es-MX" baseline="0"/>
              <a:t> in Flat plate</a:t>
            </a:r>
            <a:endParaRPr lang="es-MX"/>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Lower</c:v>
          </c:tx>
          <c:spPr>
            <a:ln w="19050" cap="rnd">
              <a:solidFill>
                <a:schemeClr val="accent1"/>
              </a:solidFill>
              <a:round/>
            </a:ln>
            <a:effectLst/>
          </c:spPr>
          <c:marker>
            <c:symbol val="none"/>
          </c:marker>
          <c:xVal>
            <c:numRef>
              <c:f>'Manual rev.1'!$A$195:$A$205</c:f>
              <c:numCache>
                <c:formatCode>0.00</c:formatCode>
                <c:ptCount val="11"/>
                <c:pt idx="0">
                  <c:v>0</c:v>
                </c:pt>
                <c:pt idx="1">
                  <c:v>0.1</c:v>
                </c:pt>
                <c:pt idx="2">
                  <c:v>0.2</c:v>
                </c:pt>
                <c:pt idx="3">
                  <c:v>0.30000000000000004</c:v>
                </c:pt>
                <c:pt idx="4">
                  <c:v>0.4</c:v>
                </c:pt>
                <c:pt idx="5">
                  <c:v>0.5</c:v>
                </c:pt>
                <c:pt idx="6">
                  <c:v>0.6</c:v>
                </c:pt>
                <c:pt idx="7">
                  <c:v>0.7</c:v>
                </c:pt>
                <c:pt idx="8">
                  <c:v>0.79999999999999993</c:v>
                </c:pt>
                <c:pt idx="9">
                  <c:v>0.89999999999999991</c:v>
                </c:pt>
                <c:pt idx="10">
                  <c:v>1</c:v>
                </c:pt>
              </c:numCache>
            </c:numRef>
          </c:xVal>
          <c:yVal>
            <c:numRef>
              <c:f>'Manual rev.1'!$D$195:$D$205</c:f>
              <c:numCache>
                <c:formatCode>General</c:formatCode>
                <c:ptCount val="11"/>
                <c:pt idx="0">
                  <c:v>0</c:v>
                </c:pt>
                <c:pt idx="1">
                  <c:v>2.1955015844965509E-2</c:v>
                </c:pt>
                <c:pt idx="2">
                  <c:v>3.0977704868796141E-2</c:v>
                </c:pt>
                <c:pt idx="3">
                  <c:v>3.7872707159892438E-2</c:v>
                </c:pt>
                <c:pt idx="4">
                  <c:v>4.3666337754101781E-2</c:v>
                </c:pt>
                <c:pt idx="5">
                  <c:v>4.8756131139964021E-2</c:v>
                </c:pt>
                <c:pt idx="6">
                  <c:v>5.334596720549345E-2</c:v>
                </c:pt>
                <c:pt idx="7">
                  <c:v>5.7556959955968101E-2</c:v>
                </c:pt>
                <c:pt idx="8">
                  <c:v>6.1468021865933475E-2</c:v>
                </c:pt>
                <c:pt idx="9">
                  <c:v>6.5133965727408594E-2</c:v>
                </c:pt>
                <c:pt idx="10">
                  <c:v>6.8594700400626429E-2</c:v>
                </c:pt>
              </c:numCache>
            </c:numRef>
          </c:yVal>
          <c:smooth val="0"/>
          <c:extLst xmlns:c16r2="http://schemas.microsoft.com/office/drawing/2015/06/chart">
            <c:ext xmlns:c16="http://schemas.microsoft.com/office/drawing/2014/chart" uri="{C3380CC4-5D6E-409C-BE32-E72D297353CC}">
              <c16:uniqueId val="{00000005-12A7-4AC8-8BE4-DB3F894777C5}"/>
            </c:ext>
          </c:extLst>
        </c:ser>
        <c:ser>
          <c:idx val="1"/>
          <c:order val="1"/>
          <c:tx>
            <c:v>Upper</c:v>
          </c:tx>
          <c:spPr>
            <a:ln w="19050" cap="rnd">
              <a:solidFill>
                <a:schemeClr val="accent2"/>
              </a:solidFill>
              <a:round/>
            </a:ln>
            <a:effectLst/>
          </c:spPr>
          <c:marker>
            <c:symbol val="none"/>
          </c:marker>
          <c:xVal>
            <c:numRef>
              <c:f>'Manual rev.1'!$A$195:$A$205</c:f>
              <c:numCache>
                <c:formatCode>0.00</c:formatCode>
                <c:ptCount val="11"/>
                <c:pt idx="0">
                  <c:v>0</c:v>
                </c:pt>
                <c:pt idx="1">
                  <c:v>0.1</c:v>
                </c:pt>
                <c:pt idx="2">
                  <c:v>0.2</c:v>
                </c:pt>
                <c:pt idx="3">
                  <c:v>0.30000000000000004</c:v>
                </c:pt>
                <c:pt idx="4">
                  <c:v>0.4</c:v>
                </c:pt>
                <c:pt idx="5">
                  <c:v>0.5</c:v>
                </c:pt>
                <c:pt idx="6">
                  <c:v>0.6</c:v>
                </c:pt>
                <c:pt idx="7">
                  <c:v>0.7</c:v>
                </c:pt>
                <c:pt idx="8">
                  <c:v>0.79999999999999993</c:v>
                </c:pt>
                <c:pt idx="9">
                  <c:v>0.89999999999999991</c:v>
                </c:pt>
                <c:pt idx="10">
                  <c:v>1</c:v>
                </c:pt>
              </c:numCache>
            </c:numRef>
          </c:xVal>
          <c:yVal>
            <c:numRef>
              <c:f>'Manual rev.1'!$C$195:$C$205</c:f>
              <c:numCache>
                <c:formatCode>General</c:formatCode>
                <c:ptCount val="11"/>
                <c:pt idx="0">
                  <c:v>0</c:v>
                </c:pt>
                <c:pt idx="1">
                  <c:v>-2.2198709780794745E-2</c:v>
                </c:pt>
                <c:pt idx="2">
                  <c:v>-3.1465092740454725E-2</c:v>
                </c:pt>
                <c:pt idx="3">
                  <c:v>-3.8603788967380481E-2</c:v>
                </c:pt>
                <c:pt idx="4">
                  <c:v>-4.4641113497419171E-2</c:v>
                </c:pt>
                <c:pt idx="5">
                  <c:v>-4.9974600819110648E-2</c:v>
                </c:pt>
                <c:pt idx="6">
                  <c:v>-5.4808130820469758E-2</c:v>
                </c:pt>
                <c:pt idx="7">
                  <c:v>-5.9262817506773757E-2</c:v>
                </c:pt>
                <c:pt idx="8">
                  <c:v>-6.3417573352568368E-2</c:v>
                </c:pt>
                <c:pt idx="9">
                  <c:v>-6.7327211149872612E-2</c:v>
                </c:pt>
                <c:pt idx="10">
                  <c:v>-7.1031639758920129E-2</c:v>
                </c:pt>
              </c:numCache>
            </c:numRef>
          </c:yVal>
          <c:smooth val="0"/>
          <c:extLst xmlns:c16r2="http://schemas.microsoft.com/office/drawing/2015/06/chart">
            <c:ext xmlns:c16="http://schemas.microsoft.com/office/drawing/2014/chart" uri="{C3380CC4-5D6E-409C-BE32-E72D297353CC}">
              <c16:uniqueId val="{00000006-12A7-4AC8-8BE4-DB3F894777C5}"/>
            </c:ext>
          </c:extLst>
        </c:ser>
        <c:dLbls>
          <c:showLegendKey val="0"/>
          <c:showVal val="0"/>
          <c:showCatName val="0"/>
          <c:showSerName val="0"/>
          <c:showPercent val="0"/>
          <c:showBubbleSize val="0"/>
        </c:dLbls>
        <c:axId val="322610384"/>
        <c:axId val="322608208"/>
      </c:scatterChart>
      <c:valAx>
        <c:axId val="322610384"/>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608208"/>
        <c:crosses val="autoZero"/>
        <c:crossBetween val="midCat"/>
      </c:valAx>
      <c:valAx>
        <c:axId val="32260820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61038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scatterChart>
        <c:scatterStyle val="smoothMarker"/>
        <c:varyColors val="0"/>
        <c:ser>
          <c:idx val="0"/>
          <c:order val="0"/>
          <c:tx>
            <c:strRef>
              <c:f>Geometry!$B$28:$C$28</c:f>
              <c:strCache>
                <c:ptCount val="2"/>
                <c:pt idx="0">
                  <c:v>References</c:v>
                </c:pt>
                <c:pt idx="1">
                  <c:v>Solidworks Tutorial - Equation Driven Curve - YouTube</c:v>
                </c:pt>
              </c:strCache>
            </c:strRef>
          </c:tx>
          <c:spPr>
            <a:ln w="19050" cap="rnd">
              <a:solidFill>
                <a:schemeClr val="accent1">
                  <a:tint val="77000"/>
                </a:schemeClr>
              </a:solidFill>
              <a:round/>
            </a:ln>
            <a:effectLst/>
          </c:spPr>
          <c:marker>
            <c:symbol val="none"/>
          </c:marker>
          <c:xVal>
            <c:multiLvlStrRef>
              <c:f>Geometry!$D$11:$G$27</c:f>
              <c:multiLvlStrCache>
                <c:ptCount val="4"/>
                <c:lvl>
                  <c:pt idx="0">
                    <c:v>30</c:v>
                  </c:pt>
                  <c:pt idx="1">
                    <c:v>cm</c:v>
                  </c:pt>
                  <c:pt idx="2">
                    <c:v>0.3</c:v>
                  </c:pt>
                  <c:pt idx="3">
                    <c:v>m</c:v>
                  </c:pt>
                </c:lvl>
                <c:lvl>
                  <c:pt idx="0">
                    <c:v>12.7</c:v>
                  </c:pt>
                  <c:pt idx="1">
                    <c:v>cm</c:v>
                  </c:pt>
                  <c:pt idx="2">
                    <c:v>0.127</c:v>
                  </c:pt>
                  <c:pt idx="3">
                    <c:v>m</c:v>
                  </c:pt>
                </c:lvl>
                <c:lvl>
                  <c:pt idx="0">
                    <c:v>0.211666667</c:v>
                  </c:pt>
                </c:lvl>
                <c:lvl>
                  <c:pt idx="0">
                    <c:v>X</c:v>
                  </c:pt>
                </c:lvl>
              </c:multiLvlStrCache>
            </c:multiLvlStrRef>
          </c:xVal>
          <c:yVal>
            <c:numRef>
              <c:f>Geometry!$D$28:$G$28</c:f>
              <c:numCache>
                <c:formatCode>General</c:formatCode>
                <c:ptCount val="4"/>
              </c:numCache>
            </c:numRef>
          </c:yVal>
          <c:smooth val="1"/>
          <c:extLst xmlns:c16r2="http://schemas.microsoft.com/office/drawing/2015/06/chart">
            <c:ext xmlns:c16="http://schemas.microsoft.com/office/drawing/2014/chart" uri="{C3380CC4-5D6E-409C-BE32-E72D297353CC}">
              <c16:uniqueId val="{00000000-732A-4EAB-BD37-C103652F6D9D}"/>
            </c:ext>
          </c:extLst>
        </c:ser>
        <c:ser>
          <c:idx val="1"/>
          <c:order val="1"/>
          <c:spPr>
            <a:ln w="19050" cap="rnd">
              <a:solidFill>
                <a:schemeClr val="accent1">
                  <a:shade val="76000"/>
                </a:schemeClr>
              </a:solidFill>
              <a:round/>
            </a:ln>
            <a:effectLst/>
          </c:spPr>
          <c:marker>
            <c:symbol val="none"/>
          </c:marker>
          <c:xVal>
            <c:numRef>
              <c:f>Geometry!$H$13:$H$22</c:f>
              <c:numCache>
                <c:formatCode>General</c:formatCode>
                <c:ptCount val="10"/>
                <c:pt idx="0">
                  <c:v>0</c:v>
                </c:pt>
                <c:pt idx="1">
                  <c:v>1.875</c:v>
                </c:pt>
                <c:pt idx="2">
                  <c:v>5.625</c:v>
                </c:pt>
                <c:pt idx="3">
                  <c:v>9.375</c:v>
                </c:pt>
                <c:pt idx="4">
                  <c:v>13.125</c:v>
                </c:pt>
                <c:pt idx="5">
                  <c:v>16.875</c:v>
                </c:pt>
                <c:pt idx="6">
                  <c:v>20.625</c:v>
                </c:pt>
                <c:pt idx="7">
                  <c:v>24.375</c:v>
                </c:pt>
                <c:pt idx="8">
                  <c:v>28.125</c:v>
                </c:pt>
                <c:pt idx="9">
                  <c:v>30</c:v>
                </c:pt>
              </c:numCache>
            </c:numRef>
          </c:xVal>
          <c:yVal>
            <c:numRef>
              <c:f>Geometry!$I$13:$I$22</c:f>
              <c:numCache>
                <c:formatCode>General</c:formatCode>
                <c:ptCount val="10"/>
                <c:pt idx="0">
                  <c:v>0</c:v>
                </c:pt>
                <c:pt idx="1">
                  <c:v>0.39687499999999998</c:v>
                </c:pt>
                <c:pt idx="2">
                  <c:v>1.190625</c:v>
                </c:pt>
                <c:pt idx="3">
                  <c:v>1.984375</c:v>
                </c:pt>
                <c:pt idx="4">
                  <c:v>2.7781250000000002</c:v>
                </c:pt>
                <c:pt idx="5">
                  <c:v>3.5718749999999999</c:v>
                </c:pt>
                <c:pt idx="6">
                  <c:v>4.3656249999999996</c:v>
                </c:pt>
                <c:pt idx="7">
                  <c:v>5.1593749999999998</c:v>
                </c:pt>
                <c:pt idx="8">
                  <c:v>5.953125</c:v>
                </c:pt>
                <c:pt idx="9">
                  <c:v>6.35</c:v>
                </c:pt>
              </c:numCache>
            </c:numRef>
          </c:yVal>
          <c:smooth val="1"/>
          <c:extLst xmlns:c16r2="http://schemas.microsoft.com/office/drawing/2015/06/chart">
            <c:ext xmlns:c16="http://schemas.microsoft.com/office/drawing/2014/chart" uri="{C3380CC4-5D6E-409C-BE32-E72D297353CC}">
              <c16:uniqueId val="{00000001-732A-4EAB-BD37-C103652F6D9D}"/>
            </c:ext>
          </c:extLst>
        </c:ser>
        <c:dLbls>
          <c:showLegendKey val="0"/>
          <c:showVal val="0"/>
          <c:showCatName val="0"/>
          <c:showSerName val="0"/>
          <c:showPercent val="0"/>
          <c:showBubbleSize val="0"/>
        </c:dLbls>
        <c:axId val="322608752"/>
        <c:axId val="110094464"/>
      </c:scatterChart>
      <c:valAx>
        <c:axId val="322608752"/>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10094464"/>
        <c:crosses val="autoZero"/>
        <c:crossBetween val="midCat"/>
      </c:valAx>
      <c:valAx>
        <c:axId val="11009446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322608752"/>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scatterChart>
        <c:scatterStyle val="smoothMarker"/>
        <c:varyColors val="0"/>
        <c:ser>
          <c:idx val="1"/>
          <c:order val="0"/>
          <c:spPr>
            <a:ln w="19050" cap="rnd">
              <a:solidFill>
                <a:schemeClr val="accent1">
                  <a:shade val="76000"/>
                </a:schemeClr>
              </a:solidFill>
              <a:round/>
            </a:ln>
            <a:effectLst/>
          </c:spPr>
          <c:marker>
            <c:symbol val="none"/>
          </c:marker>
          <c:xVal>
            <c:numRef>
              <c:f>Geometry!$H$31:$H$40</c:f>
              <c:numCache>
                <c:formatCode>0.0</c:formatCode>
                <c:ptCount val="10"/>
                <c:pt idx="0" formatCode="General">
                  <c:v>30</c:v>
                </c:pt>
                <c:pt idx="1">
                  <c:v>36.25</c:v>
                </c:pt>
                <c:pt idx="2">
                  <c:v>48.75</c:v>
                </c:pt>
                <c:pt idx="3">
                  <c:v>61.25</c:v>
                </c:pt>
                <c:pt idx="4">
                  <c:v>73.75</c:v>
                </c:pt>
                <c:pt idx="5">
                  <c:v>86.25</c:v>
                </c:pt>
                <c:pt idx="6">
                  <c:v>98.75</c:v>
                </c:pt>
                <c:pt idx="7">
                  <c:v>111.25</c:v>
                </c:pt>
                <c:pt idx="8">
                  <c:v>123.75</c:v>
                </c:pt>
                <c:pt idx="9">
                  <c:v>130</c:v>
                </c:pt>
              </c:numCache>
            </c:numRef>
          </c:xVal>
          <c:yVal>
            <c:numRef>
              <c:f>Geometry!$I$31:$I$40</c:f>
              <c:numCache>
                <c:formatCode>General</c:formatCode>
                <c:ptCount val="10"/>
                <c:pt idx="0">
                  <c:v>6.35</c:v>
                </c:pt>
                <c:pt idx="1">
                  <c:v>6.35</c:v>
                </c:pt>
                <c:pt idx="2">
                  <c:v>6.35</c:v>
                </c:pt>
                <c:pt idx="3">
                  <c:v>6.35</c:v>
                </c:pt>
                <c:pt idx="4">
                  <c:v>6.35</c:v>
                </c:pt>
                <c:pt idx="5">
                  <c:v>6.35</c:v>
                </c:pt>
                <c:pt idx="6">
                  <c:v>6.35</c:v>
                </c:pt>
                <c:pt idx="7">
                  <c:v>6.35</c:v>
                </c:pt>
                <c:pt idx="8">
                  <c:v>6.35</c:v>
                </c:pt>
                <c:pt idx="9">
                  <c:v>6.35</c:v>
                </c:pt>
              </c:numCache>
            </c:numRef>
          </c:yVal>
          <c:smooth val="1"/>
          <c:extLst xmlns:c16r2="http://schemas.microsoft.com/office/drawing/2015/06/chart">
            <c:ext xmlns:c16="http://schemas.microsoft.com/office/drawing/2014/chart" uri="{C3380CC4-5D6E-409C-BE32-E72D297353CC}">
              <c16:uniqueId val="{00000001-0CBF-4EDB-AD71-A011C94679F9}"/>
            </c:ext>
          </c:extLst>
        </c:ser>
        <c:dLbls>
          <c:showLegendKey val="0"/>
          <c:showVal val="0"/>
          <c:showCatName val="0"/>
          <c:showSerName val="0"/>
          <c:showPercent val="0"/>
          <c:showBubbleSize val="0"/>
        </c:dLbls>
        <c:axId val="110085216"/>
        <c:axId val="110096640"/>
      </c:scatterChart>
      <c:valAx>
        <c:axId val="110085216"/>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10096640"/>
        <c:crosses val="autoZero"/>
        <c:crossBetween val="midCat"/>
      </c:valAx>
      <c:valAx>
        <c:axId val="110096640"/>
        <c:scaling>
          <c:orientation val="minMax"/>
          <c:max val="8"/>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10085216"/>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scatterChart>
        <c:scatterStyle val="lineMarker"/>
        <c:varyColors val="0"/>
        <c:ser>
          <c:idx val="1"/>
          <c:order val="0"/>
          <c:tx>
            <c:v>Cone+</c:v>
          </c:tx>
          <c:spPr>
            <a:ln w="19050" cap="rnd">
              <a:solidFill>
                <a:schemeClr val="tx1"/>
              </a:solidFill>
              <a:round/>
            </a:ln>
            <a:effectLst/>
          </c:spPr>
          <c:marker>
            <c:symbol val="none"/>
          </c:marker>
          <c:xVal>
            <c:numRef>
              <c:f>Geometry!$T$13:$T$22</c:f>
              <c:numCache>
                <c:formatCode>General</c:formatCode>
                <c:ptCount val="10"/>
                <c:pt idx="0">
                  <c:v>0</c:v>
                </c:pt>
                <c:pt idx="1">
                  <c:v>1.875</c:v>
                </c:pt>
                <c:pt idx="2">
                  <c:v>5.625</c:v>
                </c:pt>
                <c:pt idx="3">
                  <c:v>9.375</c:v>
                </c:pt>
                <c:pt idx="4">
                  <c:v>13.125</c:v>
                </c:pt>
                <c:pt idx="5">
                  <c:v>16.875</c:v>
                </c:pt>
                <c:pt idx="6">
                  <c:v>20.625</c:v>
                </c:pt>
                <c:pt idx="7">
                  <c:v>24.375</c:v>
                </c:pt>
                <c:pt idx="8">
                  <c:v>28.125</c:v>
                </c:pt>
                <c:pt idx="9">
                  <c:v>30</c:v>
                </c:pt>
              </c:numCache>
            </c:numRef>
          </c:xVal>
          <c:yVal>
            <c:numRef>
              <c:f>Geometry!$U$13:$U$22</c:f>
              <c:numCache>
                <c:formatCode>General</c:formatCode>
                <c:ptCount val="10"/>
                <c:pt idx="0">
                  <c:v>0</c:v>
                </c:pt>
                <c:pt idx="1">
                  <c:v>0.80028140974278017</c:v>
                </c:pt>
                <c:pt idx="2">
                  <c:v>2.2227341724329506</c:v>
                </c:pt>
                <c:pt idx="3">
                  <c:v>3.4193360049676613</c:v>
                </c:pt>
                <c:pt idx="4">
                  <c:v>4.4013339085217069</c:v>
                </c:pt>
                <c:pt idx="5">
                  <c:v>5.1774045961570891</c:v>
                </c:pt>
                <c:pt idx="6">
                  <c:v>5.7540762469702145</c:v>
                </c:pt>
                <c:pt idx="7">
                  <c:v>6.1360215886791423</c:v>
                </c:pt>
                <c:pt idx="8">
                  <c:v>6.3262551688511195</c:v>
                </c:pt>
                <c:pt idx="9">
                  <c:v>6.3499999999999943</c:v>
                </c:pt>
              </c:numCache>
            </c:numRef>
          </c:yVal>
          <c:smooth val="0"/>
          <c:extLst xmlns:c16r2="http://schemas.microsoft.com/office/drawing/2015/06/chart">
            <c:ext xmlns:c16="http://schemas.microsoft.com/office/drawing/2014/chart" uri="{C3380CC4-5D6E-409C-BE32-E72D297353CC}">
              <c16:uniqueId val="{00000001-39AA-4E7A-81E2-39419AF3D854}"/>
            </c:ext>
          </c:extLst>
        </c:ser>
        <c:ser>
          <c:idx val="0"/>
          <c:order val="1"/>
          <c:tx>
            <c:v>Cone-</c:v>
          </c:tx>
          <c:spPr>
            <a:ln w="19050" cap="rnd">
              <a:solidFill>
                <a:schemeClr val="tx1"/>
              </a:solidFill>
              <a:round/>
            </a:ln>
            <a:effectLst/>
          </c:spPr>
          <c:marker>
            <c:symbol val="none"/>
          </c:marker>
          <c:xVal>
            <c:numRef>
              <c:f>Geometry!$T$13:$T$22</c:f>
              <c:numCache>
                <c:formatCode>General</c:formatCode>
                <c:ptCount val="10"/>
                <c:pt idx="0">
                  <c:v>0</c:v>
                </c:pt>
                <c:pt idx="1">
                  <c:v>1.875</c:v>
                </c:pt>
                <c:pt idx="2">
                  <c:v>5.625</c:v>
                </c:pt>
                <c:pt idx="3">
                  <c:v>9.375</c:v>
                </c:pt>
                <c:pt idx="4">
                  <c:v>13.125</c:v>
                </c:pt>
                <c:pt idx="5">
                  <c:v>16.875</c:v>
                </c:pt>
                <c:pt idx="6">
                  <c:v>20.625</c:v>
                </c:pt>
                <c:pt idx="7">
                  <c:v>24.375</c:v>
                </c:pt>
                <c:pt idx="8">
                  <c:v>28.125</c:v>
                </c:pt>
                <c:pt idx="9">
                  <c:v>30</c:v>
                </c:pt>
              </c:numCache>
            </c:numRef>
          </c:xVal>
          <c:yVal>
            <c:numRef>
              <c:f>Geometry!$V$13:$V$22</c:f>
              <c:numCache>
                <c:formatCode>General</c:formatCode>
                <c:ptCount val="10"/>
                <c:pt idx="0">
                  <c:v>0</c:v>
                </c:pt>
                <c:pt idx="1">
                  <c:v>-0.80028140974278017</c:v>
                </c:pt>
                <c:pt idx="2">
                  <c:v>-2.2227341724329506</c:v>
                </c:pt>
                <c:pt idx="3">
                  <c:v>-3.4193360049676613</c:v>
                </c:pt>
                <c:pt idx="4">
                  <c:v>-4.4013339085217069</c:v>
                </c:pt>
                <c:pt idx="5">
                  <c:v>-5.1774045961570891</c:v>
                </c:pt>
                <c:pt idx="6">
                  <c:v>-5.7540762469702145</c:v>
                </c:pt>
                <c:pt idx="7">
                  <c:v>-6.1360215886791423</c:v>
                </c:pt>
                <c:pt idx="8">
                  <c:v>-6.3262551688511195</c:v>
                </c:pt>
                <c:pt idx="9">
                  <c:v>-6.3499999999999943</c:v>
                </c:pt>
              </c:numCache>
            </c:numRef>
          </c:yVal>
          <c:smooth val="0"/>
          <c:extLst xmlns:c16r2="http://schemas.microsoft.com/office/drawing/2015/06/chart">
            <c:ext xmlns:c16="http://schemas.microsoft.com/office/drawing/2014/chart" uri="{C3380CC4-5D6E-409C-BE32-E72D297353CC}">
              <c16:uniqueId val="{00000004-39AA-4E7A-81E2-39419AF3D854}"/>
            </c:ext>
          </c:extLst>
        </c:ser>
        <c:ser>
          <c:idx val="2"/>
          <c:order val="2"/>
          <c:tx>
            <c:v>RT+</c:v>
          </c:tx>
          <c:spPr>
            <a:ln w="19050" cap="rnd">
              <a:solidFill>
                <a:schemeClr val="tx1"/>
              </a:solidFill>
              <a:round/>
            </a:ln>
            <a:effectLst/>
          </c:spPr>
          <c:marker>
            <c:symbol val="none"/>
          </c:marker>
          <c:xVal>
            <c:numRef>
              <c:f>Geometry!$H$31:$H$40</c:f>
              <c:numCache>
                <c:formatCode>0.0</c:formatCode>
                <c:ptCount val="10"/>
                <c:pt idx="0" formatCode="General">
                  <c:v>30</c:v>
                </c:pt>
                <c:pt idx="1">
                  <c:v>36.25</c:v>
                </c:pt>
                <c:pt idx="2">
                  <c:v>48.75</c:v>
                </c:pt>
                <c:pt idx="3">
                  <c:v>61.25</c:v>
                </c:pt>
                <c:pt idx="4">
                  <c:v>73.75</c:v>
                </c:pt>
                <c:pt idx="5">
                  <c:v>86.25</c:v>
                </c:pt>
                <c:pt idx="6">
                  <c:v>98.75</c:v>
                </c:pt>
                <c:pt idx="7">
                  <c:v>111.25</c:v>
                </c:pt>
                <c:pt idx="8">
                  <c:v>123.75</c:v>
                </c:pt>
                <c:pt idx="9">
                  <c:v>130</c:v>
                </c:pt>
              </c:numCache>
            </c:numRef>
          </c:xVal>
          <c:yVal>
            <c:numRef>
              <c:f>Geometry!$I$31:$I$40</c:f>
              <c:numCache>
                <c:formatCode>General</c:formatCode>
                <c:ptCount val="10"/>
                <c:pt idx="0">
                  <c:v>6.35</c:v>
                </c:pt>
                <c:pt idx="1">
                  <c:v>6.35</c:v>
                </c:pt>
                <c:pt idx="2">
                  <c:v>6.35</c:v>
                </c:pt>
                <c:pt idx="3">
                  <c:v>6.35</c:v>
                </c:pt>
                <c:pt idx="4">
                  <c:v>6.35</c:v>
                </c:pt>
                <c:pt idx="5">
                  <c:v>6.35</c:v>
                </c:pt>
                <c:pt idx="6">
                  <c:v>6.35</c:v>
                </c:pt>
                <c:pt idx="7">
                  <c:v>6.35</c:v>
                </c:pt>
                <c:pt idx="8">
                  <c:v>6.35</c:v>
                </c:pt>
                <c:pt idx="9">
                  <c:v>6.35</c:v>
                </c:pt>
              </c:numCache>
            </c:numRef>
          </c:yVal>
          <c:smooth val="0"/>
          <c:extLst xmlns:c16r2="http://schemas.microsoft.com/office/drawing/2015/06/chart">
            <c:ext xmlns:c16="http://schemas.microsoft.com/office/drawing/2014/chart" uri="{C3380CC4-5D6E-409C-BE32-E72D297353CC}">
              <c16:uniqueId val="{00000005-39AA-4E7A-81E2-39419AF3D854}"/>
            </c:ext>
          </c:extLst>
        </c:ser>
        <c:ser>
          <c:idx val="3"/>
          <c:order val="3"/>
          <c:tx>
            <c:v>RT-</c:v>
          </c:tx>
          <c:spPr>
            <a:ln w="19050" cap="rnd">
              <a:solidFill>
                <a:schemeClr val="tx1"/>
              </a:solidFill>
              <a:round/>
            </a:ln>
            <a:effectLst/>
          </c:spPr>
          <c:marker>
            <c:symbol val="none"/>
          </c:marker>
          <c:xVal>
            <c:numRef>
              <c:f>Geometry!$H$31:$H$40</c:f>
              <c:numCache>
                <c:formatCode>0.0</c:formatCode>
                <c:ptCount val="10"/>
                <c:pt idx="0" formatCode="General">
                  <c:v>30</c:v>
                </c:pt>
                <c:pt idx="1">
                  <c:v>36.25</c:v>
                </c:pt>
                <c:pt idx="2">
                  <c:v>48.75</c:v>
                </c:pt>
                <c:pt idx="3">
                  <c:v>61.25</c:v>
                </c:pt>
                <c:pt idx="4">
                  <c:v>73.75</c:v>
                </c:pt>
                <c:pt idx="5">
                  <c:v>86.25</c:v>
                </c:pt>
                <c:pt idx="6">
                  <c:v>98.75</c:v>
                </c:pt>
                <c:pt idx="7">
                  <c:v>111.25</c:v>
                </c:pt>
                <c:pt idx="8">
                  <c:v>123.75</c:v>
                </c:pt>
                <c:pt idx="9">
                  <c:v>130</c:v>
                </c:pt>
              </c:numCache>
            </c:numRef>
          </c:xVal>
          <c:yVal>
            <c:numRef>
              <c:f>Geometry!$J$31:$J$40</c:f>
              <c:numCache>
                <c:formatCode>General</c:formatCode>
                <c:ptCount val="10"/>
                <c:pt idx="0">
                  <c:v>-6.35</c:v>
                </c:pt>
                <c:pt idx="1">
                  <c:v>-6.35</c:v>
                </c:pt>
                <c:pt idx="2">
                  <c:v>-6.35</c:v>
                </c:pt>
                <c:pt idx="3">
                  <c:v>-6.35</c:v>
                </c:pt>
                <c:pt idx="4">
                  <c:v>-6.35</c:v>
                </c:pt>
                <c:pt idx="5">
                  <c:v>-6.35</c:v>
                </c:pt>
                <c:pt idx="6">
                  <c:v>-6.35</c:v>
                </c:pt>
                <c:pt idx="7">
                  <c:v>-6.35</c:v>
                </c:pt>
                <c:pt idx="8">
                  <c:v>-6.35</c:v>
                </c:pt>
                <c:pt idx="9">
                  <c:v>-6.35</c:v>
                </c:pt>
              </c:numCache>
            </c:numRef>
          </c:yVal>
          <c:smooth val="0"/>
          <c:extLst xmlns:c16r2="http://schemas.microsoft.com/office/drawing/2015/06/chart">
            <c:ext xmlns:c16="http://schemas.microsoft.com/office/drawing/2014/chart" uri="{C3380CC4-5D6E-409C-BE32-E72D297353CC}">
              <c16:uniqueId val="{00000006-39AA-4E7A-81E2-39419AF3D854}"/>
            </c:ext>
          </c:extLst>
        </c:ser>
        <c:ser>
          <c:idx val="4"/>
          <c:order val="4"/>
          <c:tx>
            <c:v>FUP</c:v>
          </c:tx>
          <c:spPr>
            <a:ln w="19050" cap="rnd">
              <a:solidFill>
                <a:schemeClr val="accent1"/>
              </a:solidFill>
              <a:round/>
            </a:ln>
            <a:effectLst/>
          </c:spPr>
          <c:marker>
            <c:symbol val="none"/>
          </c:marker>
          <c:xVal>
            <c:numRef>
              <c:f>Geometry!$H$50:$H$59</c:f>
              <c:numCache>
                <c:formatCode>0.000</c:formatCode>
                <c:ptCount val="10"/>
                <c:pt idx="0">
                  <c:v>110</c:v>
                </c:pt>
                <c:pt idx="1">
                  <c:v>110.9375</c:v>
                </c:pt>
                <c:pt idx="2">
                  <c:v>112.8125</c:v>
                </c:pt>
                <c:pt idx="3">
                  <c:v>114.6875</c:v>
                </c:pt>
                <c:pt idx="4">
                  <c:v>116.5625</c:v>
                </c:pt>
                <c:pt idx="5">
                  <c:v>118.4375</c:v>
                </c:pt>
                <c:pt idx="6">
                  <c:v>120.3125</c:v>
                </c:pt>
                <c:pt idx="7">
                  <c:v>122.1875</c:v>
                </c:pt>
                <c:pt idx="8">
                  <c:v>125</c:v>
                </c:pt>
                <c:pt idx="9">
                  <c:v>125</c:v>
                </c:pt>
              </c:numCache>
            </c:numRef>
          </c:xVal>
          <c:yVal>
            <c:numRef>
              <c:f>Geometry!$I$50:$I$59</c:f>
              <c:numCache>
                <c:formatCode>0.000</c:formatCode>
                <c:ptCount val="10"/>
                <c:pt idx="0">
                  <c:v>6.35</c:v>
                </c:pt>
                <c:pt idx="1">
                  <c:v>10.1</c:v>
                </c:pt>
                <c:pt idx="2">
                  <c:v>17.600000000000001</c:v>
                </c:pt>
                <c:pt idx="3">
                  <c:v>25.1</c:v>
                </c:pt>
                <c:pt idx="4">
                  <c:v>26.35</c:v>
                </c:pt>
                <c:pt idx="5">
                  <c:v>26.35</c:v>
                </c:pt>
                <c:pt idx="6">
                  <c:v>26.35</c:v>
                </c:pt>
                <c:pt idx="7">
                  <c:v>26.35</c:v>
                </c:pt>
                <c:pt idx="8">
                  <c:v>26.35</c:v>
                </c:pt>
                <c:pt idx="9">
                  <c:v>6.35</c:v>
                </c:pt>
              </c:numCache>
            </c:numRef>
          </c:yVal>
          <c:smooth val="0"/>
          <c:extLst xmlns:c16r2="http://schemas.microsoft.com/office/drawing/2015/06/chart">
            <c:ext xmlns:c16="http://schemas.microsoft.com/office/drawing/2014/chart" uri="{C3380CC4-5D6E-409C-BE32-E72D297353CC}">
              <c16:uniqueId val="{00000007-39AA-4E7A-81E2-39419AF3D854}"/>
            </c:ext>
          </c:extLst>
        </c:ser>
        <c:ser>
          <c:idx val="5"/>
          <c:order val="5"/>
          <c:tx>
            <c:v>FDN</c:v>
          </c:tx>
          <c:spPr>
            <a:ln w="19050" cap="rnd">
              <a:solidFill>
                <a:schemeClr val="accent1"/>
              </a:solidFill>
              <a:round/>
            </a:ln>
            <a:effectLst/>
          </c:spPr>
          <c:marker>
            <c:symbol val="none"/>
          </c:marker>
          <c:xVal>
            <c:numRef>
              <c:f>Geometry!$H$50:$H$59</c:f>
              <c:numCache>
                <c:formatCode>0.000</c:formatCode>
                <c:ptCount val="10"/>
                <c:pt idx="0">
                  <c:v>110</c:v>
                </c:pt>
                <c:pt idx="1">
                  <c:v>110.9375</c:v>
                </c:pt>
                <c:pt idx="2">
                  <c:v>112.8125</c:v>
                </c:pt>
                <c:pt idx="3">
                  <c:v>114.6875</c:v>
                </c:pt>
                <c:pt idx="4">
                  <c:v>116.5625</c:v>
                </c:pt>
                <c:pt idx="5">
                  <c:v>118.4375</c:v>
                </c:pt>
                <c:pt idx="6">
                  <c:v>120.3125</c:v>
                </c:pt>
                <c:pt idx="7">
                  <c:v>122.1875</c:v>
                </c:pt>
                <c:pt idx="8">
                  <c:v>125</c:v>
                </c:pt>
                <c:pt idx="9">
                  <c:v>125</c:v>
                </c:pt>
              </c:numCache>
            </c:numRef>
          </c:xVal>
          <c:yVal>
            <c:numRef>
              <c:f>Geometry!$J$50:$J$59</c:f>
              <c:numCache>
                <c:formatCode>0.000</c:formatCode>
                <c:ptCount val="10"/>
                <c:pt idx="0">
                  <c:v>-6.35</c:v>
                </c:pt>
                <c:pt idx="1">
                  <c:v>-10.1</c:v>
                </c:pt>
                <c:pt idx="2">
                  <c:v>-17.600000000000001</c:v>
                </c:pt>
                <c:pt idx="3">
                  <c:v>-25.1</c:v>
                </c:pt>
                <c:pt idx="4">
                  <c:v>-26.35</c:v>
                </c:pt>
                <c:pt idx="5">
                  <c:v>-26.35</c:v>
                </c:pt>
                <c:pt idx="6">
                  <c:v>-26.35</c:v>
                </c:pt>
                <c:pt idx="7">
                  <c:v>-26.35</c:v>
                </c:pt>
                <c:pt idx="8">
                  <c:v>-26.35</c:v>
                </c:pt>
                <c:pt idx="9">
                  <c:v>-6.35</c:v>
                </c:pt>
              </c:numCache>
            </c:numRef>
          </c:yVal>
          <c:smooth val="0"/>
          <c:extLst xmlns:c16r2="http://schemas.microsoft.com/office/drawing/2015/06/chart">
            <c:ext xmlns:c16="http://schemas.microsoft.com/office/drawing/2014/chart" uri="{C3380CC4-5D6E-409C-BE32-E72D297353CC}">
              <c16:uniqueId val="{00000008-39AA-4E7A-81E2-39419AF3D854}"/>
            </c:ext>
          </c:extLst>
        </c:ser>
        <c:ser>
          <c:idx val="6"/>
          <c:order val="6"/>
          <c:tx>
            <c:v>BT+</c:v>
          </c:tx>
          <c:spPr>
            <a:ln w="19050" cap="rnd">
              <a:solidFill>
                <a:schemeClr val="tx2"/>
              </a:solidFill>
              <a:round/>
            </a:ln>
            <a:effectLst/>
          </c:spPr>
          <c:marker>
            <c:symbol val="none"/>
          </c:marker>
          <c:xVal>
            <c:numRef>
              <c:f>Geometry!$H$88:$H$98</c:f>
              <c:numCache>
                <c:formatCode>0.00</c:formatCode>
                <c:ptCount val="11"/>
                <c:pt idx="0">
                  <c:v>130</c:v>
                </c:pt>
                <c:pt idx="1">
                  <c:v>130.5</c:v>
                </c:pt>
                <c:pt idx="2">
                  <c:v>131.5</c:v>
                </c:pt>
                <c:pt idx="3">
                  <c:v>132.5</c:v>
                </c:pt>
                <c:pt idx="4">
                  <c:v>133.5</c:v>
                </c:pt>
                <c:pt idx="5">
                  <c:v>134.5</c:v>
                </c:pt>
                <c:pt idx="6">
                  <c:v>135.5</c:v>
                </c:pt>
                <c:pt idx="7">
                  <c:v>136.5</c:v>
                </c:pt>
                <c:pt idx="8">
                  <c:v>137.5</c:v>
                </c:pt>
                <c:pt idx="9">
                  <c:v>138</c:v>
                </c:pt>
                <c:pt idx="10">
                  <c:v>138</c:v>
                </c:pt>
              </c:numCache>
            </c:numRef>
          </c:xVal>
          <c:yVal>
            <c:numRef>
              <c:f>Geometry!$I$88:$I$98</c:f>
              <c:numCache>
                <c:formatCode>0.00</c:formatCode>
                <c:ptCount val="11"/>
                <c:pt idx="0">
                  <c:v>6.35</c:v>
                </c:pt>
                <c:pt idx="1">
                  <c:v>6.09375</c:v>
                </c:pt>
                <c:pt idx="2">
                  <c:v>5.5812499999999998</c:v>
                </c:pt>
                <c:pt idx="3">
                  <c:v>5.0687499999999996</c:v>
                </c:pt>
                <c:pt idx="4">
                  <c:v>4.5562500000000004</c:v>
                </c:pt>
                <c:pt idx="5">
                  <c:v>4.0437499999999993</c:v>
                </c:pt>
                <c:pt idx="6">
                  <c:v>3.53125</c:v>
                </c:pt>
                <c:pt idx="7">
                  <c:v>3.0187499999999998</c:v>
                </c:pt>
                <c:pt idx="8">
                  <c:v>2.5062500000000001</c:v>
                </c:pt>
                <c:pt idx="9">
                  <c:v>2.25</c:v>
                </c:pt>
                <c:pt idx="10" formatCode="General">
                  <c:v>0</c:v>
                </c:pt>
              </c:numCache>
            </c:numRef>
          </c:yVal>
          <c:smooth val="0"/>
          <c:extLst xmlns:c16r2="http://schemas.microsoft.com/office/drawing/2015/06/chart">
            <c:ext xmlns:c16="http://schemas.microsoft.com/office/drawing/2014/chart" uri="{C3380CC4-5D6E-409C-BE32-E72D297353CC}">
              <c16:uniqueId val="{00000009-39AA-4E7A-81E2-39419AF3D854}"/>
            </c:ext>
          </c:extLst>
        </c:ser>
        <c:ser>
          <c:idx val="7"/>
          <c:order val="7"/>
          <c:tx>
            <c:v>BT-</c:v>
          </c:tx>
          <c:spPr>
            <a:ln w="19050" cap="rnd">
              <a:solidFill>
                <a:schemeClr val="tx2"/>
              </a:solidFill>
              <a:round/>
            </a:ln>
            <a:effectLst/>
          </c:spPr>
          <c:marker>
            <c:symbol val="none"/>
          </c:marker>
          <c:xVal>
            <c:numRef>
              <c:f>Geometry!$H$88:$H$98</c:f>
              <c:numCache>
                <c:formatCode>0.00</c:formatCode>
                <c:ptCount val="11"/>
                <c:pt idx="0">
                  <c:v>130</c:v>
                </c:pt>
                <c:pt idx="1">
                  <c:v>130.5</c:v>
                </c:pt>
                <c:pt idx="2">
                  <c:v>131.5</c:v>
                </c:pt>
                <c:pt idx="3">
                  <c:v>132.5</c:v>
                </c:pt>
                <c:pt idx="4">
                  <c:v>133.5</c:v>
                </c:pt>
                <c:pt idx="5">
                  <c:v>134.5</c:v>
                </c:pt>
                <c:pt idx="6">
                  <c:v>135.5</c:v>
                </c:pt>
                <c:pt idx="7">
                  <c:v>136.5</c:v>
                </c:pt>
                <c:pt idx="8">
                  <c:v>137.5</c:v>
                </c:pt>
                <c:pt idx="9">
                  <c:v>138</c:v>
                </c:pt>
                <c:pt idx="10">
                  <c:v>138</c:v>
                </c:pt>
              </c:numCache>
            </c:numRef>
          </c:xVal>
          <c:yVal>
            <c:numRef>
              <c:f>Geometry!$J$88:$J$98</c:f>
              <c:numCache>
                <c:formatCode>0.00</c:formatCode>
                <c:ptCount val="11"/>
                <c:pt idx="0">
                  <c:v>-6.35</c:v>
                </c:pt>
                <c:pt idx="1">
                  <c:v>-6.09375</c:v>
                </c:pt>
                <c:pt idx="2">
                  <c:v>-5.5812499999999998</c:v>
                </c:pt>
                <c:pt idx="3">
                  <c:v>-5.0687499999999996</c:v>
                </c:pt>
                <c:pt idx="4">
                  <c:v>-4.5562500000000004</c:v>
                </c:pt>
                <c:pt idx="5">
                  <c:v>-4.0437499999999993</c:v>
                </c:pt>
                <c:pt idx="6">
                  <c:v>-3.53125</c:v>
                </c:pt>
                <c:pt idx="7">
                  <c:v>-3.0187499999999998</c:v>
                </c:pt>
                <c:pt idx="8">
                  <c:v>-2.5062500000000001</c:v>
                </c:pt>
                <c:pt idx="9">
                  <c:v>-2.25</c:v>
                </c:pt>
                <c:pt idx="10" formatCode="General">
                  <c:v>0</c:v>
                </c:pt>
              </c:numCache>
            </c:numRef>
          </c:yVal>
          <c:smooth val="0"/>
          <c:extLst xmlns:c16r2="http://schemas.microsoft.com/office/drawing/2015/06/chart">
            <c:ext xmlns:c16="http://schemas.microsoft.com/office/drawing/2014/chart" uri="{C3380CC4-5D6E-409C-BE32-E72D297353CC}">
              <c16:uniqueId val="{0000000A-39AA-4E7A-81E2-39419AF3D854}"/>
            </c:ext>
          </c:extLst>
        </c:ser>
        <c:dLbls>
          <c:showLegendKey val="0"/>
          <c:showVal val="0"/>
          <c:showCatName val="0"/>
          <c:showSerName val="0"/>
          <c:showPercent val="0"/>
          <c:showBubbleSize val="0"/>
        </c:dLbls>
        <c:axId val="110087392"/>
        <c:axId val="64013168"/>
      </c:scatterChart>
      <c:valAx>
        <c:axId val="110087392"/>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64013168"/>
        <c:crosses val="autoZero"/>
        <c:crossBetween val="midCat"/>
      </c:valAx>
      <c:valAx>
        <c:axId val="6401316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10087392"/>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scatterChart>
        <c:scatterStyle val="lineMarker"/>
        <c:varyColors val="0"/>
        <c:ser>
          <c:idx val="1"/>
          <c:order val="0"/>
          <c:tx>
            <c:v>FIN</c:v>
          </c:tx>
          <c:spPr>
            <a:ln w="19050" cap="rnd">
              <a:solidFill>
                <a:schemeClr val="accent1">
                  <a:shade val="76000"/>
                </a:schemeClr>
              </a:solidFill>
              <a:round/>
            </a:ln>
            <a:effectLst/>
          </c:spPr>
          <c:marker>
            <c:symbol val="none"/>
          </c:marker>
          <c:xVal>
            <c:numRef>
              <c:f>Geometry!$H$50:$H$59</c:f>
              <c:numCache>
                <c:formatCode>0.000</c:formatCode>
                <c:ptCount val="10"/>
                <c:pt idx="0">
                  <c:v>110</c:v>
                </c:pt>
                <c:pt idx="1">
                  <c:v>110.9375</c:v>
                </c:pt>
                <c:pt idx="2">
                  <c:v>112.8125</c:v>
                </c:pt>
                <c:pt idx="3">
                  <c:v>114.6875</c:v>
                </c:pt>
                <c:pt idx="4">
                  <c:v>116.5625</c:v>
                </c:pt>
                <c:pt idx="5">
                  <c:v>118.4375</c:v>
                </c:pt>
                <c:pt idx="6">
                  <c:v>120.3125</c:v>
                </c:pt>
                <c:pt idx="7">
                  <c:v>122.1875</c:v>
                </c:pt>
                <c:pt idx="8">
                  <c:v>125</c:v>
                </c:pt>
                <c:pt idx="9">
                  <c:v>125</c:v>
                </c:pt>
              </c:numCache>
            </c:numRef>
          </c:xVal>
          <c:yVal>
            <c:numRef>
              <c:f>Geometry!$I$50:$I$59</c:f>
              <c:numCache>
                <c:formatCode>0.000</c:formatCode>
                <c:ptCount val="10"/>
                <c:pt idx="0">
                  <c:v>6.35</c:v>
                </c:pt>
                <c:pt idx="1">
                  <c:v>10.1</c:v>
                </c:pt>
                <c:pt idx="2">
                  <c:v>17.600000000000001</c:v>
                </c:pt>
                <c:pt idx="3">
                  <c:v>25.1</c:v>
                </c:pt>
                <c:pt idx="4">
                  <c:v>26.35</c:v>
                </c:pt>
                <c:pt idx="5">
                  <c:v>26.35</c:v>
                </c:pt>
                <c:pt idx="6">
                  <c:v>26.35</c:v>
                </c:pt>
                <c:pt idx="7">
                  <c:v>26.35</c:v>
                </c:pt>
                <c:pt idx="8">
                  <c:v>26.35</c:v>
                </c:pt>
                <c:pt idx="9">
                  <c:v>6.35</c:v>
                </c:pt>
              </c:numCache>
            </c:numRef>
          </c:yVal>
          <c:smooth val="0"/>
          <c:extLst xmlns:c16r2="http://schemas.microsoft.com/office/drawing/2015/06/chart">
            <c:ext xmlns:c16="http://schemas.microsoft.com/office/drawing/2014/chart" uri="{C3380CC4-5D6E-409C-BE32-E72D297353CC}">
              <c16:uniqueId val="{00000000-273E-4B0F-86D8-090F2C71894C}"/>
            </c:ext>
          </c:extLst>
        </c:ser>
        <c:dLbls>
          <c:showLegendKey val="0"/>
          <c:showVal val="0"/>
          <c:showCatName val="0"/>
          <c:showSerName val="0"/>
          <c:showPercent val="0"/>
          <c:showBubbleSize val="0"/>
        </c:dLbls>
        <c:axId val="424943856"/>
        <c:axId val="424938960"/>
        <c:extLst xmlns:c16r2="http://schemas.microsoft.com/office/drawing/2015/06/chart">
          <c:ext xmlns:c15="http://schemas.microsoft.com/office/drawing/2012/chart" uri="{02D57815-91ED-43cb-92C2-25804820EDAC}">
            <c15:filteredScatterSeries>
              <c15:ser>
                <c:idx val="0"/>
                <c:order val="1"/>
                <c:tx>
                  <c:v>AERO FIN</c:v>
                </c:tx>
                <c:spPr>
                  <a:ln w="19050" cap="rnd">
                    <a:solidFill>
                      <a:schemeClr val="accent1">
                        <a:tint val="77000"/>
                      </a:schemeClr>
                    </a:solidFill>
                    <a:round/>
                  </a:ln>
                  <a:effectLst/>
                </c:spPr>
                <c:marker>
                  <c:symbol val="none"/>
                </c:marker>
                <c:xVal>
                  <c:numRef>
                    <c:extLst xmlns:c16r2="http://schemas.microsoft.com/office/drawing/2015/06/chart">
                      <c:ext uri="{02D57815-91ED-43cb-92C2-25804820EDAC}">
                        <c15:formulaRef>
                          <c15:sqref>Geometry!$K$50:$K$59</c15:sqref>
                        </c15:formulaRef>
                      </c:ext>
                    </c:extLst>
                    <c:numCache>
                      <c:formatCode>0.000</c:formatCode>
                      <c:ptCount val="10"/>
                      <c:pt idx="0">
                        <c:v>84.59999999999998</c:v>
                      </c:pt>
                      <c:pt idx="1">
                        <c:v>110</c:v>
                      </c:pt>
                      <c:pt idx="2">
                        <c:v>110.9375</c:v>
                      </c:pt>
                      <c:pt idx="3">
                        <c:v>112.8125</c:v>
                      </c:pt>
                      <c:pt idx="4">
                        <c:v>114.6875</c:v>
                      </c:pt>
                      <c:pt idx="5">
                        <c:v>116.5625</c:v>
                      </c:pt>
                      <c:pt idx="6">
                        <c:v>118.4375</c:v>
                      </c:pt>
                      <c:pt idx="7">
                        <c:v>120.3125</c:v>
                      </c:pt>
                      <c:pt idx="8">
                        <c:v>125</c:v>
                      </c:pt>
                      <c:pt idx="9">
                        <c:v>125</c:v>
                      </c:pt>
                    </c:numCache>
                  </c:numRef>
                </c:xVal>
                <c:yVal>
                  <c:numRef>
                    <c:extLst xmlns:c16r2="http://schemas.microsoft.com/office/drawing/2015/06/chart">
                      <c:ext uri="{02D57815-91ED-43cb-92C2-25804820EDAC}">
                        <c15:formulaRef>
                          <c15:sqref>Geometry!$L$50:$L$59</c15:sqref>
                        </c15:formulaRef>
                      </c:ext>
                    </c:extLst>
                    <c:numCache>
                      <c:formatCode>0.000</c:formatCode>
                      <c:ptCount val="10"/>
                      <c:pt idx="0">
                        <c:v>0</c:v>
                      </c:pt>
                      <c:pt idx="1">
                        <c:v>3</c:v>
                      </c:pt>
                      <c:pt idx="2">
                        <c:v>10.1</c:v>
                      </c:pt>
                      <c:pt idx="3">
                        <c:v>17.600000000000001</c:v>
                      </c:pt>
                      <c:pt idx="4">
                        <c:v>25.1</c:v>
                      </c:pt>
                      <c:pt idx="5">
                        <c:v>26.35</c:v>
                      </c:pt>
                      <c:pt idx="6">
                        <c:v>26.35</c:v>
                      </c:pt>
                      <c:pt idx="7">
                        <c:v>26.35</c:v>
                      </c:pt>
                      <c:pt idx="8">
                        <c:v>26.35</c:v>
                      </c:pt>
                      <c:pt idx="9">
                        <c:v>0</c:v>
                      </c:pt>
                    </c:numCache>
                  </c:numRef>
                </c:yVal>
                <c:smooth val="0"/>
                <c:extLst xmlns:c16r2="http://schemas.microsoft.com/office/drawing/2015/06/chart">
                  <c:ext xmlns:c16="http://schemas.microsoft.com/office/drawing/2014/chart" uri="{C3380CC4-5D6E-409C-BE32-E72D297353CC}">
                    <c16:uniqueId val="{00000001-3EFD-4F75-B961-07E1A551384F}"/>
                  </c:ext>
                </c:extLst>
              </c15:ser>
            </c15:filteredScatterSeries>
          </c:ext>
        </c:extLst>
      </c:scatterChart>
      <c:valAx>
        <c:axId val="424943856"/>
        <c:scaling>
          <c:orientation val="minMax"/>
          <c:min val="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24938960"/>
        <c:crosses val="autoZero"/>
        <c:crossBetween val="midCat"/>
      </c:valAx>
      <c:valAx>
        <c:axId val="42493896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24943856"/>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scatterChart>
        <c:scatterStyle val="smoothMarker"/>
        <c:varyColors val="0"/>
        <c:ser>
          <c:idx val="1"/>
          <c:order val="0"/>
          <c:spPr>
            <a:ln w="19050" cap="rnd">
              <a:solidFill>
                <a:schemeClr val="accent1">
                  <a:shade val="76000"/>
                </a:schemeClr>
              </a:solidFill>
              <a:round/>
            </a:ln>
            <a:effectLst/>
          </c:spPr>
          <c:marker>
            <c:symbol val="none"/>
          </c:marker>
          <c:xVal>
            <c:numRef>
              <c:f>Geometry!$H$88:$H$97</c:f>
              <c:numCache>
                <c:formatCode>0.00</c:formatCode>
                <c:ptCount val="10"/>
                <c:pt idx="0">
                  <c:v>130</c:v>
                </c:pt>
                <c:pt idx="1">
                  <c:v>130.5</c:v>
                </c:pt>
                <c:pt idx="2">
                  <c:v>131.5</c:v>
                </c:pt>
                <c:pt idx="3">
                  <c:v>132.5</c:v>
                </c:pt>
                <c:pt idx="4">
                  <c:v>133.5</c:v>
                </c:pt>
                <c:pt idx="5">
                  <c:v>134.5</c:v>
                </c:pt>
                <c:pt idx="6">
                  <c:v>135.5</c:v>
                </c:pt>
                <c:pt idx="7">
                  <c:v>136.5</c:v>
                </c:pt>
                <c:pt idx="8">
                  <c:v>137.5</c:v>
                </c:pt>
                <c:pt idx="9">
                  <c:v>138</c:v>
                </c:pt>
              </c:numCache>
            </c:numRef>
          </c:xVal>
          <c:yVal>
            <c:numRef>
              <c:f>Geometry!$I$88:$I$97</c:f>
              <c:numCache>
                <c:formatCode>0.00</c:formatCode>
                <c:ptCount val="10"/>
                <c:pt idx="0">
                  <c:v>6.35</c:v>
                </c:pt>
                <c:pt idx="1">
                  <c:v>6.09375</c:v>
                </c:pt>
                <c:pt idx="2">
                  <c:v>5.5812499999999998</c:v>
                </c:pt>
                <c:pt idx="3">
                  <c:v>5.0687499999999996</c:v>
                </c:pt>
                <c:pt idx="4">
                  <c:v>4.5562500000000004</c:v>
                </c:pt>
                <c:pt idx="5">
                  <c:v>4.0437499999999993</c:v>
                </c:pt>
                <c:pt idx="6">
                  <c:v>3.53125</c:v>
                </c:pt>
                <c:pt idx="7">
                  <c:v>3.0187499999999998</c:v>
                </c:pt>
                <c:pt idx="8">
                  <c:v>2.5062500000000001</c:v>
                </c:pt>
                <c:pt idx="9">
                  <c:v>2.25</c:v>
                </c:pt>
              </c:numCache>
            </c:numRef>
          </c:yVal>
          <c:smooth val="1"/>
          <c:extLst xmlns:c16r2="http://schemas.microsoft.com/office/drawing/2015/06/chart">
            <c:ext xmlns:c16="http://schemas.microsoft.com/office/drawing/2014/chart" uri="{C3380CC4-5D6E-409C-BE32-E72D297353CC}">
              <c16:uniqueId val="{00000000-CE06-44B8-AE9B-6F70EF498BA9}"/>
            </c:ext>
          </c:extLst>
        </c:ser>
        <c:dLbls>
          <c:showLegendKey val="0"/>
          <c:showVal val="0"/>
          <c:showCatName val="0"/>
          <c:showSerName val="0"/>
          <c:showPercent val="0"/>
          <c:showBubbleSize val="0"/>
        </c:dLbls>
        <c:axId val="424939504"/>
        <c:axId val="424952560"/>
      </c:scatterChart>
      <c:valAx>
        <c:axId val="424939504"/>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24952560"/>
        <c:crosses val="autoZero"/>
        <c:crossBetween val="midCat"/>
      </c:valAx>
      <c:valAx>
        <c:axId val="424952560"/>
        <c:scaling>
          <c:orientation val="minMax"/>
          <c:max val="8"/>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24939504"/>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scatterChart>
        <c:scatterStyle val="lineMarker"/>
        <c:varyColors val="0"/>
        <c:ser>
          <c:idx val="1"/>
          <c:order val="0"/>
          <c:tx>
            <c:v>UP</c:v>
          </c:tx>
          <c:spPr>
            <a:ln w="19050" cap="rnd">
              <a:solidFill>
                <a:schemeClr val="accent1">
                  <a:shade val="76000"/>
                </a:schemeClr>
              </a:solidFill>
              <a:round/>
            </a:ln>
            <a:effectLst/>
          </c:spPr>
          <c:marker>
            <c:symbol val="none"/>
          </c:marker>
          <c:xVal>
            <c:numRef>
              <c:f>Geometry!$H$50:$H$59</c:f>
              <c:numCache>
                <c:formatCode>0.000</c:formatCode>
                <c:ptCount val="10"/>
                <c:pt idx="0">
                  <c:v>110</c:v>
                </c:pt>
                <c:pt idx="1">
                  <c:v>110.9375</c:v>
                </c:pt>
                <c:pt idx="2">
                  <c:v>112.8125</c:v>
                </c:pt>
                <c:pt idx="3">
                  <c:v>114.6875</c:v>
                </c:pt>
                <c:pt idx="4">
                  <c:v>116.5625</c:v>
                </c:pt>
                <c:pt idx="5">
                  <c:v>118.4375</c:v>
                </c:pt>
                <c:pt idx="6">
                  <c:v>120.3125</c:v>
                </c:pt>
                <c:pt idx="7">
                  <c:v>122.1875</c:v>
                </c:pt>
                <c:pt idx="8">
                  <c:v>125</c:v>
                </c:pt>
                <c:pt idx="9">
                  <c:v>125</c:v>
                </c:pt>
              </c:numCache>
            </c:numRef>
          </c:xVal>
          <c:yVal>
            <c:numRef>
              <c:f>Geometry!$I$50:$I$59</c:f>
              <c:numCache>
                <c:formatCode>0.000</c:formatCode>
                <c:ptCount val="10"/>
                <c:pt idx="0">
                  <c:v>6.35</c:v>
                </c:pt>
                <c:pt idx="1">
                  <c:v>10.1</c:v>
                </c:pt>
                <c:pt idx="2">
                  <c:v>17.600000000000001</c:v>
                </c:pt>
                <c:pt idx="3">
                  <c:v>25.1</c:v>
                </c:pt>
                <c:pt idx="4">
                  <c:v>26.35</c:v>
                </c:pt>
                <c:pt idx="5">
                  <c:v>26.35</c:v>
                </c:pt>
                <c:pt idx="6">
                  <c:v>26.35</c:v>
                </c:pt>
                <c:pt idx="7">
                  <c:v>26.35</c:v>
                </c:pt>
                <c:pt idx="8">
                  <c:v>26.35</c:v>
                </c:pt>
                <c:pt idx="9">
                  <c:v>6.35</c:v>
                </c:pt>
              </c:numCache>
            </c:numRef>
          </c:yVal>
          <c:smooth val="0"/>
          <c:extLst xmlns:c16r2="http://schemas.microsoft.com/office/drawing/2015/06/chart">
            <c:ext xmlns:c16="http://schemas.microsoft.com/office/drawing/2014/chart" uri="{C3380CC4-5D6E-409C-BE32-E72D297353CC}">
              <c16:uniqueId val="{00000000-06B0-43FF-B993-9F8CAD72C9D0}"/>
            </c:ext>
          </c:extLst>
        </c:ser>
        <c:dLbls>
          <c:showLegendKey val="0"/>
          <c:showVal val="0"/>
          <c:showCatName val="0"/>
          <c:showSerName val="0"/>
          <c:showPercent val="0"/>
          <c:showBubbleSize val="0"/>
        </c:dLbls>
        <c:axId val="424947120"/>
        <c:axId val="424951472"/>
      </c:scatterChart>
      <c:valAx>
        <c:axId val="424947120"/>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24951472"/>
        <c:crosses val="autoZero"/>
        <c:crossBetween val="midCat"/>
      </c:valAx>
      <c:valAx>
        <c:axId val="42495147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24947120"/>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1">
  <a:schemeClr val="accent1"/>
</cs:colorStyle>
</file>

<file path=xl/charts/colors11.xml><?xml version="1.0" encoding="utf-8"?>
<cs:colorStyle xmlns:cs="http://schemas.microsoft.com/office/drawing/2012/chartStyle" xmlns:a="http://schemas.openxmlformats.org/drawingml/2006/main" meth="withinLinearReversed" id="21">
  <a:schemeClr val="accent1"/>
</cs:colorStyle>
</file>

<file path=xl/charts/colors12.xml><?xml version="1.0" encoding="utf-8"?>
<cs:colorStyle xmlns:cs="http://schemas.microsoft.com/office/drawing/2012/chartStyle" xmlns:a="http://schemas.openxmlformats.org/drawingml/2006/main" meth="withinLinearReversed" id="21">
  <a:schemeClr val="accent1"/>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withinLinearReversed" id="21">
  <a:schemeClr val="accent1"/>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1">
  <a:schemeClr val="accent1"/>
</cs:colorStyle>
</file>

<file path=xl/charts/colors5.xml><?xml version="1.0" encoding="utf-8"?>
<cs:colorStyle xmlns:cs="http://schemas.microsoft.com/office/drawing/2012/chartStyle" xmlns:a="http://schemas.openxmlformats.org/drawingml/2006/main" meth="withinLinearReversed" id="21">
  <a:schemeClr val="accent1"/>
</cs:colorStyle>
</file>

<file path=xl/charts/colors6.xml><?xml version="1.0" encoding="utf-8"?>
<cs:colorStyle xmlns:cs="http://schemas.microsoft.com/office/drawing/2012/chartStyle" xmlns:a="http://schemas.openxmlformats.org/drawingml/2006/main" meth="withinLinearReversed" id="21">
  <a:schemeClr val="accent1"/>
</cs:colorStyle>
</file>

<file path=xl/charts/colors7.xml><?xml version="1.0" encoding="utf-8"?>
<cs:colorStyle xmlns:cs="http://schemas.microsoft.com/office/drawing/2012/chartStyle" xmlns:a="http://schemas.openxmlformats.org/drawingml/2006/main" meth="withinLinearReversed" id="21">
  <a:schemeClr val="accent1"/>
</cs:colorStyle>
</file>

<file path=xl/charts/colors8.xml><?xml version="1.0" encoding="utf-8"?>
<cs:colorStyle xmlns:cs="http://schemas.microsoft.com/office/drawing/2012/chartStyle" xmlns:a="http://schemas.openxmlformats.org/drawingml/2006/main" meth="withinLinearReversed" id="21">
  <a:schemeClr val="accent1"/>
</cs:colorStyle>
</file>

<file path=xl/charts/colors9.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1.xml"/><Relationship Id="rId5" Type="http://schemas.openxmlformats.org/officeDocument/2006/relationships/chart" Target="../charts/chart3.xml"/><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7" Type="http://schemas.openxmlformats.org/officeDocument/2006/relationships/chart" Target="../charts/chart10.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4" Type="http://schemas.openxmlformats.org/officeDocument/2006/relationships/chart" Target="../charts/chart1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8.xml"/><Relationship Id="rId7" Type="http://schemas.openxmlformats.org/officeDocument/2006/relationships/image" Target="../media/image11.png"/><Relationship Id="rId2" Type="http://schemas.openxmlformats.org/officeDocument/2006/relationships/image" Target="../media/image7.png"/><Relationship Id="rId1" Type="http://schemas.openxmlformats.org/officeDocument/2006/relationships/chart" Target="../charts/chart17.xml"/><Relationship Id="rId6" Type="http://schemas.openxmlformats.org/officeDocument/2006/relationships/image" Target="../media/image10.png"/><Relationship Id="rId5" Type="http://schemas.openxmlformats.org/officeDocument/2006/relationships/image" Target="../media/image9.png"/><Relationship Id="rId4" Type="http://schemas.openxmlformats.org/officeDocument/2006/relationships/image" Target="../media/image8.png"/></Relationships>
</file>

<file path=xl/drawings/_rels/drawing8.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9</xdr:col>
      <xdr:colOff>304800</xdr:colOff>
      <xdr:row>62</xdr:row>
      <xdr:rowOff>171450</xdr:rowOff>
    </xdr:from>
    <xdr:ext cx="65" cy="172227"/>
    <xdr:sp macro="" textlink="">
      <xdr:nvSpPr>
        <xdr:cNvPr id="2" name="TextBox 1">
          <a:extLst>
            <a:ext uri="{FF2B5EF4-FFF2-40B4-BE49-F238E27FC236}">
              <a16:creationId xmlns="" xmlns:a16="http://schemas.microsoft.com/office/drawing/2014/main" id="{393B3C67-1ABC-2789-344B-126A3B5F8F18}"/>
            </a:ext>
          </a:extLst>
        </xdr:cNvPr>
        <xdr:cNvSpPr txBox="1"/>
      </xdr:nvSpPr>
      <xdr:spPr>
        <a:xfrm>
          <a:off x="5791200" y="18002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MX" sz="1100"/>
        </a:p>
      </xdr:txBody>
    </xdr:sp>
    <xdr:clientData/>
  </xdr:oneCellAnchor>
  <xdr:oneCellAnchor>
    <xdr:from>
      <xdr:col>0</xdr:col>
      <xdr:colOff>0</xdr:colOff>
      <xdr:row>221</xdr:row>
      <xdr:rowOff>3810</xdr:rowOff>
    </xdr:from>
    <xdr:ext cx="1988820" cy="473591"/>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 xmlns:a16="http://schemas.microsoft.com/office/drawing/2014/main" id="{37A524B4-13F7-A024-0584-ED9E880D868F}"/>
                </a:ext>
              </a:extLst>
            </xdr:cNvPr>
            <xdr:cNvSpPr txBox="1"/>
          </xdr:nvSpPr>
          <xdr:spPr>
            <a:xfrm>
              <a:off x="0" y="19168110"/>
              <a:ext cx="1988820" cy="4735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MX" sz="1100" b="0" i="1" kern="1200">
                            <a:latin typeface="Cambria Math" panose="02040503050406030204" pitchFamily="18" charset="0"/>
                            <a:ea typeface="Cambria Math" panose="02040503050406030204" pitchFamily="18" charset="0"/>
                          </a:rPr>
                        </m:ctrlPr>
                      </m:fPr>
                      <m:num>
                        <m:sSub>
                          <m:sSubPr>
                            <m:ctrlPr>
                              <a:rPr lang="en-US" sz="1100" b="0" i="1" kern="1200">
                                <a:latin typeface="Cambria Math" panose="02040503050406030204" pitchFamily="18" charset="0"/>
                                <a:ea typeface="Cambria Math" panose="02040503050406030204" pitchFamily="18" charset="0"/>
                              </a:rPr>
                            </m:ctrlPr>
                          </m:sSubPr>
                          <m:e>
                            <m:r>
                              <a:rPr lang="es-MX" sz="1100" i="1" kern="1200">
                                <a:latin typeface="Cambria Math" panose="02040503050406030204" pitchFamily="18" charset="0"/>
                                <a:ea typeface="Cambria Math" panose="02040503050406030204" pitchFamily="18" charset="0"/>
                              </a:rPr>
                              <m:t>𝜌</m:t>
                            </m:r>
                          </m:e>
                          <m:sub>
                            <m:r>
                              <a:rPr lang="en-US" sz="1100" b="0" i="1" kern="1200">
                                <a:latin typeface="Cambria Math" panose="02040503050406030204" pitchFamily="18" charset="0"/>
                                <a:ea typeface="Cambria Math" panose="02040503050406030204" pitchFamily="18" charset="0"/>
                              </a:rPr>
                              <m:t>0</m:t>
                            </m:r>
                          </m:sub>
                        </m:sSub>
                      </m:num>
                      <m:den>
                        <m:r>
                          <a:rPr lang="es-MX" sz="1100" i="1" kern="1200">
                            <a:latin typeface="Cambria Math" panose="02040503050406030204" pitchFamily="18" charset="0"/>
                            <a:ea typeface="Cambria Math" panose="02040503050406030204" pitchFamily="18" charset="0"/>
                          </a:rPr>
                          <m:t>𝜌</m:t>
                        </m:r>
                      </m:den>
                    </m:f>
                    <m:r>
                      <a:rPr lang="en-US" sz="1100" b="0" i="1" kern="1200">
                        <a:latin typeface="Cambria Math" panose="02040503050406030204" pitchFamily="18" charset="0"/>
                        <a:ea typeface="Cambria Math" panose="02040503050406030204" pitchFamily="18" charset="0"/>
                      </a:rPr>
                      <m:t>=</m:t>
                    </m:r>
                    <m:sSup>
                      <m:sSupPr>
                        <m:ctrlPr>
                          <a:rPr lang="en-US" sz="1100" b="0" i="1" kern="1200">
                            <a:latin typeface="Cambria Math" panose="02040503050406030204" pitchFamily="18" charset="0"/>
                            <a:ea typeface="Cambria Math" panose="02040503050406030204" pitchFamily="18" charset="0"/>
                          </a:rPr>
                        </m:ctrlPr>
                      </m:sSupPr>
                      <m:e>
                        <m:d>
                          <m:dPr>
                            <m:ctrlPr>
                              <a:rPr lang="en-US" sz="1100" b="0" i="1" kern="1200">
                                <a:latin typeface="Cambria Math" panose="02040503050406030204" pitchFamily="18" charset="0"/>
                                <a:ea typeface="Cambria Math" panose="02040503050406030204" pitchFamily="18" charset="0"/>
                              </a:rPr>
                            </m:ctrlPr>
                          </m:dPr>
                          <m:e>
                            <m:r>
                              <a:rPr lang="en-US" sz="1100" b="0" i="1" kern="1200">
                                <a:latin typeface="Cambria Math" panose="02040503050406030204" pitchFamily="18" charset="0"/>
                                <a:ea typeface="Cambria Math" panose="02040503050406030204" pitchFamily="18" charset="0"/>
                              </a:rPr>
                              <m:t>1</m:t>
                            </m:r>
                            <m:r>
                              <a:rPr lang="en-US" sz="1100" b="0" i="1" kern="1200">
                                <a:latin typeface="Cambria Math" panose="02040503050406030204" pitchFamily="18" charset="0"/>
                                <a:ea typeface="Cambria Math" panose="02040503050406030204" pitchFamily="18" charset="0"/>
                              </a:rPr>
                              <m:t>+</m:t>
                            </m:r>
                            <m:f>
                              <m:fPr>
                                <m:ctrlPr>
                                  <a:rPr lang="en-US" sz="1100" b="0" i="1" kern="1200">
                                    <a:latin typeface="Cambria Math" panose="02040503050406030204" pitchFamily="18" charset="0"/>
                                    <a:ea typeface="Cambria Math" panose="02040503050406030204" pitchFamily="18" charset="0"/>
                                  </a:rPr>
                                </m:ctrlPr>
                              </m:fPr>
                              <m:num>
                                <m:r>
                                  <a:rPr lang="en-US" sz="1100" b="0" i="1" kern="1200">
                                    <a:latin typeface="Cambria Math" panose="02040503050406030204" pitchFamily="18" charset="0"/>
                                    <a:ea typeface="Cambria Math" panose="02040503050406030204" pitchFamily="18" charset="0"/>
                                  </a:rPr>
                                  <m:t>𝛾</m:t>
                                </m:r>
                                <m:r>
                                  <a:rPr lang="en-US" sz="1100" b="0" i="1" kern="1200">
                                    <a:latin typeface="Cambria Math" panose="02040503050406030204" pitchFamily="18" charset="0"/>
                                    <a:ea typeface="Cambria Math" panose="02040503050406030204" pitchFamily="18" charset="0"/>
                                  </a:rPr>
                                  <m:t>−</m:t>
                                </m:r>
                                <m:r>
                                  <a:rPr lang="en-US" sz="1100" b="0" i="1" kern="1200">
                                    <a:latin typeface="Cambria Math" panose="02040503050406030204" pitchFamily="18" charset="0"/>
                                    <a:ea typeface="Cambria Math" panose="02040503050406030204" pitchFamily="18" charset="0"/>
                                  </a:rPr>
                                  <m:t>1</m:t>
                                </m:r>
                              </m:num>
                              <m:den>
                                <m:r>
                                  <a:rPr lang="en-US" sz="1100" b="0" i="1" kern="1200">
                                    <a:latin typeface="Cambria Math" panose="02040503050406030204" pitchFamily="18" charset="0"/>
                                    <a:ea typeface="Cambria Math" panose="02040503050406030204" pitchFamily="18" charset="0"/>
                                  </a:rPr>
                                  <m:t>2</m:t>
                                </m:r>
                              </m:den>
                            </m:f>
                            <m:sSup>
                              <m:sSupPr>
                                <m:ctrlPr>
                                  <a:rPr lang="en-US" sz="1100" b="0" i="1" kern="1200">
                                    <a:latin typeface="Cambria Math" panose="02040503050406030204" pitchFamily="18" charset="0"/>
                                    <a:ea typeface="Cambria Math" panose="02040503050406030204" pitchFamily="18" charset="0"/>
                                  </a:rPr>
                                </m:ctrlPr>
                              </m:sSupPr>
                              <m:e>
                                <m:r>
                                  <a:rPr lang="en-US" sz="1100" b="0" i="1" kern="1200">
                                    <a:latin typeface="Cambria Math" panose="02040503050406030204" pitchFamily="18" charset="0"/>
                                    <a:ea typeface="Cambria Math" panose="02040503050406030204" pitchFamily="18" charset="0"/>
                                  </a:rPr>
                                  <m:t>𝑀</m:t>
                                </m:r>
                              </m:e>
                              <m:sup>
                                <m:r>
                                  <a:rPr lang="en-US" sz="1100" b="0" i="1" kern="1200">
                                    <a:latin typeface="Cambria Math" panose="02040503050406030204" pitchFamily="18" charset="0"/>
                                    <a:ea typeface="Cambria Math" panose="02040503050406030204" pitchFamily="18" charset="0"/>
                                  </a:rPr>
                                  <m:t>2</m:t>
                                </m:r>
                              </m:sup>
                            </m:sSup>
                          </m:e>
                        </m:d>
                      </m:e>
                      <m:sup>
                        <m:f>
                          <m:fPr>
                            <m:ctrlPr>
                              <a:rPr lang="en-US" sz="1100" b="0" i="1" kern="1200">
                                <a:latin typeface="Cambria Math" panose="02040503050406030204" pitchFamily="18" charset="0"/>
                                <a:ea typeface="Cambria Math" panose="02040503050406030204" pitchFamily="18" charset="0"/>
                              </a:rPr>
                            </m:ctrlPr>
                          </m:fPr>
                          <m:num>
                            <m:r>
                              <a:rPr lang="en-US" sz="1100" b="0" i="1" kern="1200">
                                <a:latin typeface="Cambria Math" panose="02040503050406030204" pitchFamily="18" charset="0"/>
                                <a:ea typeface="Cambria Math" panose="02040503050406030204" pitchFamily="18" charset="0"/>
                              </a:rPr>
                              <m:t>1</m:t>
                            </m:r>
                          </m:num>
                          <m:den>
                            <m:r>
                              <a:rPr lang="en-US" sz="1100" b="0" i="1" kern="1200">
                                <a:latin typeface="Cambria Math" panose="02040503050406030204" pitchFamily="18" charset="0"/>
                                <a:ea typeface="Cambria Math" panose="02040503050406030204" pitchFamily="18" charset="0"/>
                              </a:rPr>
                              <m:t>𝛾</m:t>
                            </m:r>
                            <m:r>
                              <a:rPr lang="en-US" sz="1100" b="0" i="1" kern="1200">
                                <a:latin typeface="Cambria Math" panose="02040503050406030204" pitchFamily="18" charset="0"/>
                                <a:ea typeface="Cambria Math" panose="02040503050406030204" pitchFamily="18" charset="0"/>
                              </a:rPr>
                              <m:t>−</m:t>
                            </m:r>
                            <m:r>
                              <a:rPr lang="en-US" sz="1100" b="0" i="1" kern="1200">
                                <a:latin typeface="Cambria Math" panose="02040503050406030204" pitchFamily="18" charset="0"/>
                                <a:ea typeface="Cambria Math" panose="02040503050406030204" pitchFamily="18" charset="0"/>
                              </a:rPr>
                              <m:t>1</m:t>
                            </m:r>
                          </m:den>
                        </m:f>
                      </m:sup>
                    </m:sSup>
                  </m:oMath>
                </m:oMathPara>
              </a14:m>
              <a:endParaRPr lang="es-MX" sz="1100" kern="1200"/>
            </a:p>
          </xdr:txBody>
        </xdr:sp>
      </mc:Choice>
      <mc:Fallback xmlns="">
        <xdr:sp macro="" textlink="">
          <xdr:nvSpPr>
            <xdr:cNvPr id="11" name="TextBox 10">
              <a:extLst>
                <a:ext uri="{FF2B5EF4-FFF2-40B4-BE49-F238E27FC236}">
                  <a16:creationId xmlns:a16="http://schemas.microsoft.com/office/drawing/2014/main" id="{37A524B4-13F7-A024-0584-ED9E880D868F}"/>
                </a:ext>
              </a:extLst>
            </xdr:cNvPr>
            <xdr:cNvSpPr txBox="1"/>
          </xdr:nvSpPr>
          <xdr:spPr>
            <a:xfrm>
              <a:off x="0" y="19168110"/>
              <a:ext cx="1988820" cy="4735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MX" sz="1100" i="0" kern="1200">
                  <a:latin typeface="Cambria Math" panose="02040503050406030204" pitchFamily="18" charset="0"/>
                  <a:ea typeface="Cambria Math" panose="02040503050406030204" pitchFamily="18" charset="0"/>
                </a:rPr>
                <a:t>𝜌</a:t>
              </a:r>
              <a:r>
                <a:rPr lang="en-US" sz="1100" b="0" i="0" kern="1200">
                  <a:latin typeface="Cambria Math" panose="02040503050406030204" pitchFamily="18" charset="0"/>
                  <a:ea typeface="Cambria Math" panose="02040503050406030204" pitchFamily="18" charset="0"/>
                </a:rPr>
                <a:t>_0</a:t>
              </a:r>
              <a:r>
                <a:rPr lang="es-MX" sz="1100" b="0" i="0" kern="1200">
                  <a:latin typeface="Cambria Math" panose="02040503050406030204" pitchFamily="18" charset="0"/>
                  <a:ea typeface="Cambria Math" panose="02040503050406030204" pitchFamily="18" charset="0"/>
                </a:rPr>
                <a:t>/</a:t>
              </a:r>
              <a:r>
                <a:rPr lang="es-MX" sz="1100" i="0" kern="1200">
                  <a:latin typeface="Cambria Math" panose="02040503050406030204" pitchFamily="18" charset="0"/>
                  <a:ea typeface="Cambria Math" panose="02040503050406030204" pitchFamily="18" charset="0"/>
                </a:rPr>
                <a:t>𝜌</a:t>
              </a:r>
              <a:r>
                <a:rPr lang="en-US" sz="1100" b="0" i="0" kern="1200">
                  <a:latin typeface="Cambria Math" panose="02040503050406030204" pitchFamily="18" charset="0"/>
                  <a:ea typeface="Cambria Math" panose="02040503050406030204" pitchFamily="18" charset="0"/>
                </a:rPr>
                <a:t>=(1+(𝛾−1)/2 𝑀^2 )^(1/(𝛾−1))</a:t>
              </a:r>
              <a:endParaRPr lang="es-MX" sz="1100" kern="1200"/>
            </a:p>
          </xdr:txBody>
        </xdr:sp>
      </mc:Fallback>
    </mc:AlternateContent>
    <xdr:clientData/>
  </xdr:oneCellAnchor>
  <xdr:twoCellAnchor>
    <xdr:from>
      <xdr:col>0</xdr:col>
      <xdr:colOff>22860</xdr:colOff>
      <xdr:row>226</xdr:row>
      <xdr:rowOff>15240</xdr:rowOff>
    </xdr:from>
    <xdr:to>
      <xdr:col>3</xdr:col>
      <xdr:colOff>495300</xdr:colOff>
      <xdr:row>237</xdr:row>
      <xdr:rowOff>15240</xdr:rowOff>
    </xdr:to>
    <xdr:graphicFrame macro="">
      <xdr:nvGraphicFramePr>
        <xdr:cNvPr id="12" name="Chart 11">
          <a:extLst>
            <a:ext uri="{FF2B5EF4-FFF2-40B4-BE49-F238E27FC236}">
              <a16:creationId xmlns="" xmlns:a16="http://schemas.microsoft.com/office/drawing/2014/main" id="{8696CF88-4D17-58E0-4547-0F4FEA49BBCA}"/>
            </a:ext>
            <a:ext uri="{147F2762-F138-4A5C-976F-8EAC2B608ADB}">
              <a16:predDERef xmlns="" xmlns:a16="http://schemas.microsoft.com/office/drawing/2014/main" pred="{37A524B4-13F7-A024-0584-ED9E880D86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106680</xdr:colOff>
      <xdr:row>239</xdr:row>
      <xdr:rowOff>34290</xdr:rowOff>
    </xdr:from>
    <xdr:ext cx="951351" cy="316882"/>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 xmlns:a16="http://schemas.microsoft.com/office/drawing/2014/main" id="{F27C3274-15D1-951A-7FD8-DA1BEAC20F75}"/>
                </a:ext>
              </a:extLst>
            </xdr:cNvPr>
            <xdr:cNvSpPr txBox="1"/>
          </xdr:nvSpPr>
          <xdr:spPr>
            <a:xfrm>
              <a:off x="106680" y="22246590"/>
              <a:ext cx="951351"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𝑃</m:t>
                    </m:r>
                    <m:r>
                      <a:rPr lang="en-US" sz="1100" b="0" i="1" kern="1200">
                        <a:latin typeface="Cambria Math" panose="02040503050406030204" pitchFamily="18" charset="0"/>
                      </a:rPr>
                      <m:t>=</m:t>
                    </m:r>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𝑃</m:t>
                        </m:r>
                      </m:e>
                      <m:sub>
                        <m:r>
                          <a:rPr lang="en-US" sz="1100" b="0" i="1" kern="1200">
                            <a:latin typeface="Cambria Math" panose="02040503050406030204" pitchFamily="18" charset="0"/>
                          </a:rPr>
                          <m:t>0</m:t>
                        </m:r>
                      </m:sub>
                    </m:sSub>
                    <m:r>
                      <a:rPr lang="en-US" sz="1100" b="0" i="1" kern="1200">
                        <a:latin typeface="Cambria Math" panose="02040503050406030204" pitchFamily="18" charset="0"/>
                      </a:rPr>
                      <m:t>−</m:t>
                    </m:r>
                    <m:f>
                      <m:fPr>
                        <m:ctrlPr>
                          <a:rPr lang="en-US" sz="1100" b="0" i="1" kern="1200">
                            <a:latin typeface="Cambria Math" panose="02040503050406030204" pitchFamily="18" charset="0"/>
                          </a:rPr>
                        </m:ctrlPr>
                      </m:fPr>
                      <m:num>
                        <m:r>
                          <a:rPr lang="en-US" sz="1100" b="0" i="1" kern="1200">
                            <a:latin typeface="Cambria Math" panose="02040503050406030204" pitchFamily="18" charset="0"/>
                          </a:rPr>
                          <m:t>1</m:t>
                        </m:r>
                      </m:num>
                      <m:den>
                        <m:r>
                          <a:rPr lang="en-US" sz="1100" b="0" i="1" kern="1200">
                            <a:latin typeface="Cambria Math" panose="02040503050406030204" pitchFamily="18" charset="0"/>
                          </a:rPr>
                          <m:t>2</m:t>
                        </m:r>
                      </m:den>
                    </m:f>
                    <m:r>
                      <a:rPr lang="en-US" sz="1100" b="0" i="1" kern="1200">
                        <a:latin typeface="Cambria Math" panose="02040503050406030204" pitchFamily="18" charset="0"/>
                        <a:ea typeface="Cambria Math" panose="02040503050406030204" pitchFamily="18" charset="0"/>
                      </a:rPr>
                      <m:t>𝜌</m:t>
                    </m:r>
                    <m:sSup>
                      <m:sSupPr>
                        <m:ctrlPr>
                          <a:rPr lang="en-US" sz="1100" b="0" i="1" kern="1200">
                            <a:latin typeface="Cambria Math" panose="02040503050406030204" pitchFamily="18" charset="0"/>
                            <a:ea typeface="Cambria Math" panose="02040503050406030204" pitchFamily="18" charset="0"/>
                          </a:rPr>
                        </m:ctrlPr>
                      </m:sSupPr>
                      <m:e>
                        <m:r>
                          <a:rPr lang="en-US" sz="1100" b="0" i="1" kern="1200">
                            <a:latin typeface="Cambria Math" panose="02040503050406030204" pitchFamily="18" charset="0"/>
                            <a:ea typeface="Cambria Math" panose="02040503050406030204" pitchFamily="18" charset="0"/>
                          </a:rPr>
                          <m:t>𝑉</m:t>
                        </m:r>
                      </m:e>
                      <m:sup>
                        <m:r>
                          <a:rPr lang="en-US" sz="1100" b="0" i="1" kern="1200">
                            <a:latin typeface="Cambria Math" panose="02040503050406030204" pitchFamily="18" charset="0"/>
                            <a:ea typeface="Cambria Math" panose="02040503050406030204" pitchFamily="18" charset="0"/>
                          </a:rPr>
                          <m:t>2</m:t>
                        </m:r>
                      </m:sup>
                    </m:sSup>
                  </m:oMath>
                </m:oMathPara>
              </a14:m>
              <a:endParaRPr lang="es-MX" sz="1100" kern="1200"/>
            </a:p>
          </xdr:txBody>
        </xdr:sp>
      </mc:Choice>
      <mc:Fallback xmlns="">
        <xdr:sp macro="" textlink="">
          <xdr:nvSpPr>
            <xdr:cNvPr id="13" name="TextBox 12">
              <a:extLst>
                <a:ext uri="{FF2B5EF4-FFF2-40B4-BE49-F238E27FC236}">
                  <a16:creationId xmlns:a16="http://schemas.microsoft.com/office/drawing/2014/main" id="{F27C3274-15D1-951A-7FD8-DA1BEAC20F75}"/>
                </a:ext>
              </a:extLst>
            </xdr:cNvPr>
            <xdr:cNvSpPr txBox="1"/>
          </xdr:nvSpPr>
          <xdr:spPr>
            <a:xfrm>
              <a:off x="106680" y="22246590"/>
              <a:ext cx="951351"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kern="1200">
                  <a:latin typeface="Cambria Math" panose="02040503050406030204" pitchFamily="18" charset="0"/>
                </a:rPr>
                <a:t>𝑃=𝑃_0−1/2</a:t>
              </a:r>
              <a:r>
                <a:rPr lang="en-US" sz="1100" b="0" i="0" kern="1200">
                  <a:latin typeface="Cambria Math" panose="02040503050406030204" pitchFamily="18" charset="0"/>
                  <a:ea typeface="Cambria Math" panose="02040503050406030204" pitchFamily="18" charset="0"/>
                </a:rPr>
                <a:t> 𝜌𝑉^2</a:t>
              </a:r>
              <a:endParaRPr lang="es-MX" sz="1100" kern="1200"/>
            </a:p>
          </xdr:txBody>
        </xdr:sp>
      </mc:Fallback>
    </mc:AlternateContent>
    <xdr:clientData/>
  </xdr:oneCellAnchor>
  <xdr:oneCellAnchor>
    <xdr:from>
      <xdr:col>0</xdr:col>
      <xdr:colOff>69575</xdr:colOff>
      <xdr:row>249</xdr:row>
      <xdr:rowOff>66260</xdr:rowOff>
    </xdr:from>
    <xdr:ext cx="810927" cy="386901"/>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 xmlns:a16="http://schemas.microsoft.com/office/drawing/2014/main" id="{5AE2CABF-230F-1FCE-16A4-CED18BDBB96F}"/>
                </a:ext>
              </a:extLst>
            </xdr:cNvPr>
            <xdr:cNvSpPr txBox="1"/>
          </xdr:nvSpPr>
          <xdr:spPr>
            <a:xfrm>
              <a:off x="69575" y="23668382"/>
              <a:ext cx="810927" cy="3869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𝑇</m:t>
                    </m:r>
                    <m:r>
                      <a:rPr lang="en-US" sz="1100" b="0" i="1" kern="1200">
                        <a:latin typeface="Cambria Math" panose="02040503050406030204" pitchFamily="18" charset="0"/>
                      </a:rPr>
                      <m:t>=</m:t>
                    </m:r>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𝑇</m:t>
                        </m:r>
                      </m:e>
                      <m:sub>
                        <m:r>
                          <a:rPr lang="en-US" sz="1100" b="0" i="1" kern="1200">
                            <a:latin typeface="Cambria Math" panose="02040503050406030204" pitchFamily="18" charset="0"/>
                          </a:rPr>
                          <m:t>0</m:t>
                        </m:r>
                      </m:sub>
                    </m:sSub>
                    <m:r>
                      <a:rPr lang="en-US" sz="1100" b="0" i="1" kern="1200">
                        <a:latin typeface="Cambria Math" panose="02040503050406030204" pitchFamily="18" charset="0"/>
                      </a:rPr>
                      <m:t>−</m:t>
                    </m:r>
                    <m:f>
                      <m:fPr>
                        <m:ctrlPr>
                          <a:rPr lang="en-US" sz="1100" b="0" i="1" kern="1200">
                            <a:latin typeface="Cambria Math" panose="02040503050406030204" pitchFamily="18" charset="0"/>
                          </a:rPr>
                        </m:ctrlPr>
                      </m:fPr>
                      <m:num>
                        <m:sSup>
                          <m:sSupPr>
                            <m:ctrlPr>
                              <a:rPr lang="en-US" sz="1100" b="0" i="1" kern="1200">
                                <a:latin typeface="Cambria Math" panose="02040503050406030204" pitchFamily="18" charset="0"/>
                              </a:rPr>
                            </m:ctrlPr>
                          </m:sSupPr>
                          <m:e>
                            <m:r>
                              <a:rPr lang="en-US" sz="1100" b="0" i="1" kern="1200">
                                <a:latin typeface="Cambria Math" panose="02040503050406030204" pitchFamily="18" charset="0"/>
                              </a:rPr>
                              <m:t>𝑉</m:t>
                            </m:r>
                          </m:e>
                          <m:sup>
                            <m:r>
                              <a:rPr lang="en-US" sz="1100" b="0" i="1" kern="1200">
                                <a:latin typeface="Cambria Math" panose="02040503050406030204" pitchFamily="18" charset="0"/>
                              </a:rPr>
                              <m:t>2</m:t>
                            </m:r>
                          </m:sup>
                        </m:sSup>
                      </m:num>
                      <m:den>
                        <m:r>
                          <a:rPr lang="en-US" sz="1100" b="0" i="1" kern="1200">
                            <a:latin typeface="Cambria Math" panose="02040503050406030204" pitchFamily="18" charset="0"/>
                          </a:rPr>
                          <m:t>2</m:t>
                        </m:r>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𝑐</m:t>
                            </m:r>
                          </m:e>
                          <m:sub>
                            <m:r>
                              <a:rPr lang="en-US" sz="1100" b="0" i="1" kern="1200">
                                <a:latin typeface="Cambria Math" panose="02040503050406030204" pitchFamily="18" charset="0"/>
                              </a:rPr>
                              <m:t>𝑝</m:t>
                            </m:r>
                          </m:sub>
                        </m:sSub>
                      </m:den>
                    </m:f>
                  </m:oMath>
                </m:oMathPara>
              </a14:m>
              <a:endParaRPr lang="es-MX" sz="1100" kern="1200"/>
            </a:p>
          </xdr:txBody>
        </xdr:sp>
      </mc:Choice>
      <mc:Fallback xmlns="">
        <xdr:sp macro="" textlink="">
          <xdr:nvSpPr>
            <xdr:cNvPr id="14" name="TextBox 13">
              <a:extLst>
                <a:ext uri="{FF2B5EF4-FFF2-40B4-BE49-F238E27FC236}">
                  <a16:creationId xmlns:a16="http://schemas.microsoft.com/office/drawing/2014/main" id="{5AE2CABF-230F-1FCE-16A4-CED18BDBB96F}"/>
                </a:ext>
              </a:extLst>
            </xdr:cNvPr>
            <xdr:cNvSpPr txBox="1"/>
          </xdr:nvSpPr>
          <xdr:spPr>
            <a:xfrm>
              <a:off x="69575" y="23668382"/>
              <a:ext cx="810927" cy="3869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kern="1200">
                  <a:latin typeface="Cambria Math" panose="02040503050406030204" pitchFamily="18" charset="0"/>
                </a:rPr>
                <a:t>𝑇=𝑇_0−𝑉^2/(2𝑐_𝑝 )</a:t>
              </a:r>
              <a:endParaRPr lang="es-MX" sz="1100" kern="1200"/>
            </a:p>
          </xdr:txBody>
        </xdr:sp>
      </mc:Fallback>
    </mc:AlternateContent>
    <xdr:clientData/>
  </xdr:oneCellAnchor>
  <xdr:oneCellAnchor>
    <xdr:from>
      <xdr:col>0</xdr:col>
      <xdr:colOff>69574</xdr:colOff>
      <xdr:row>252</xdr:row>
      <xdr:rowOff>19879</xdr:rowOff>
    </xdr:from>
    <xdr:ext cx="847989" cy="460191"/>
    <mc:AlternateContent xmlns:mc="http://schemas.openxmlformats.org/markup-compatibility/2006" xmlns:a14="http://schemas.microsoft.com/office/drawing/2010/main">
      <mc:Choice Requires="a14">
        <xdr:sp macro="" textlink="">
          <xdr:nvSpPr>
            <xdr:cNvPr id="15" name="TextBox 14">
              <a:extLst>
                <a:ext uri="{FF2B5EF4-FFF2-40B4-BE49-F238E27FC236}">
                  <a16:creationId xmlns="" xmlns:a16="http://schemas.microsoft.com/office/drawing/2014/main" id="{8015B4A1-1918-BE89-980C-B85DE46BD6BC}"/>
                </a:ext>
              </a:extLst>
            </xdr:cNvPr>
            <xdr:cNvSpPr txBox="1"/>
          </xdr:nvSpPr>
          <xdr:spPr>
            <a:xfrm>
              <a:off x="69574" y="24118957"/>
              <a:ext cx="847989" cy="4601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n-US" sz="1100" b="0" i="1" kern="1200">
                            <a:latin typeface="Cambria Math" panose="02040503050406030204" pitchFamily="18" charset="0"/>
                          </a:rPr>
                        </m:ctrlPr>
                      </m:fPr>
                      <m:num>
                        <m:r>
                          <a:rPr lang="en-US" sz="1100" b="0" i="1" kern="1200">
                            <a:latin typeface="Cambria Math" panose="02040503050406030204" pitchFamily="18" charset="0"/>
                          </a:rPr>
                          <m:t>𝑃</m:t>
                        </m:r>
                      </m:num>
                      <m:den>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𝑃</m:t>
                            </m:r>
                          </m:e>
                          <m:sub>
                            <m:r>
                              <a:rPr lang="en-US" sz="1100" b="0" i="1" kern="1200">
                                <a:latin typeface="Cambria Math" panose="02040503050406030204" pitchFamily="18" charset="0"/>
                              </a:rPr>
                              <m:t>0</m:t>
                            </m:r>
                          </m:sub>
                        </m:sSub>
                      </m:den>
                    </m:f>
                    <m:r>
                      <a:rPr lang="en-US" sz="1100" b="0" i="1" kern="1200">
                        <a:latin typeface="Cambria Math" panose="02040503050406030204" pitchFamily="18" charset="0"/>
                      </a:rPr>
                      <m:t>=</m:t>
                    </m:r>
                    <m:sSup>
                      <m:sSupPr>
                        <m:ctrlPr>
                          <a:rPr lang="en-US" sz="1100" b="0" i="1" kern="1200">
                            <a:latin typeface="Cambria Math" panose="02040503050406030204" pitchFamily="18" charset="0"/>
                          </a:rPr>
                        </m:ctrlPr>
                      </m:sSupPr>
                      <m:e>
                        <m:d>
                          <m:dPr>
                            <m:ctrlPr>
                              <a:rPr lang="en-US" sz="1100" b="0" i="1" kern="1200">
                                <a:latin typeface="Cambria Math" panose="02040503050406030204" pitchFamily="18" charset="0"/>
                              </a:rPr>
                            </m:ctrlPr>
                          </m:dPr>
                          <m:e>
                            <m:f>
                              <m:fPr>
                                <m:ctrlPr>
                                  <a:rPr lang="en-US" sz="1100" b="0" i="1" kern="1200">
                                    <a:latin typeface="Cambria Math" panose="02040503050406030204" pitchFamily="18" charset="0"/>
                                  </a:rPr>
                                </m:ctrlPr>
                              </m:fPr>
                              <m:num>
                                <m:r>
                                  <a:rPr lang="en-US" sz="1100" b="0" i="1" kern="1200">
                                    <a:latin typeface="Cambria Math" panose="02040503050406030204" pitchFamily="18" charset="0"/>
                                  </a:rPr>
                                  <m:t>𝑇</m:t>
                                </m:r>
                              </m:num>
                              <m:den>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𝑇</m:t>
                                    </m:r>
                                  </m:e>
                                  <m:sub>
                                    <m:r>
                                      <a:rPr lang="en-US" sz="1100" b="0" i="1" kern="1200">
                                        <a:latin typeface="Cambria Math" panose="02040503050406030204" pitchFamily="18" charset="0"/>
                                      </a:rPr>
                                      <m:t>0</m:t>
                                    </m:r>
                                  </m:sub>
                                </m:sSub>
                              </m:den>
                            </m:f>
                          </m:e>
                        </m:d>
                      </m:e>
                      <m:sup>
                        <m:f>
                          <m:fPr>
                            <m:ctrlPr>
                              <a:rPr lang="en-US" sz="1100" b="0" i="1" kern="1200">
                                <a:latin typeface="Cambria Math" panose="02040503050406030204" pitchFamily="18" charset="0"/>
                                <a:ea typeface="Cambria Math" panose="02040503050406030204" pitchFamily="18" charset="0"/>
                              </a:rPr>
                            </m:ctrlPr>
                          </m:fPr>
                          <m:num>
                            <m:r>
                              <a:rPr lang="en-US" sz="1100" b="0" i="1" kern="1200">
                                <a:latin typeface="Cambria Math" panose="02040503050406030204" pitchFamily="18" charset="0"/>
                                <a:ea typeface="Cambria Math" panose="02040503050406030204" pitchFamily="18" charset="0"/>
                              </a:rPr>
                              <m:t>𝛾</m:t>
                            </m:r>
                          </m:num>
                          <m:den>
                            <m:r>
                              <a:rPr lang="en-US" sz="1100" b="0" i="1" kern="1200">
                                <a:latin typeface="Cambria Math" panose="02040503050406030204" pitchFamily="18" charset="0"/>
                                <a:ea typeface="Cambria Math" panose="02040503050406030204" pitchFamily="18" charset="0"/>
                              </a:rPr>
                              <m:t>𝛾</m:t>
                            </m:r>
                            <m:r>
                              <a:rPr lang="en-US" sz="1100" b="0" i="1" kern="1200">
                                <a:latin typeface="Cambria Math" panose="02040503050406030204" pitchFamily="18" charset="0"/>
                                <a:ea typeface="Cambria Math" panose="02040503050406030204" pitchFamily="18" charset="0"/>
                              </a:rPr>
                              <m:t>−</m:t>
                            </m:r>
                            <m:r>
                              <a:rPr lang="en-US" sz="1100" b="0" i="1" kern="1200">
                                <a:latin typeface="Cambria Math" panose="02040503050406030204" pitchFamily="18" charset="0"/>
                                <a:ea typeface="Cambria Math" panose="02040503050406030204" pitchFamily="18" charset="0"/>
                              </a:rPr>
                              <m:t>1</m:t>
                            </m:r>
                          </m:den>
                        </m:f>
                      </m:sup>
                    </m:sSup>
                  </m:oMath>
                </m:oMathPara>
              </a14:m>
              <a:endParaRPr lang="es-MX" sz="1100" kern="1200"/>
            </a:p>
          </xdr:txBody>
        </xdr:sp>
      </mc:Choice>
      <mc:Fallback xmlns="">
        <xdr:sp macro="" textlink="">
          <xdr:nvSpPr>
            <xdr:cNvPr id="15" name="TextBox 14">
              <a:extLst>
                <a:ext uri="{FF2B5EF4-FFF2-40B4-BE49-F238E27FC236}">
                  <a16:creationId xmlns:a16="http://schemas.microsoft.com/office/drawing/2014/main" id="{8015B4A1-1918-BE89-980C-B85DE46BD6BC}"/>
                </a:ext>
              </a:extLst>
            </xdr:cNvPr>
            <xdr:cNvSpPr txBox="1"/>
          </xdr:nvSpPr>
          <xdr:spPr>
            <a:xfrm>
              <a:off x="69574" y="24118957"/>
              <a:ext cx="847989" cy="4601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kern="1200">
                  <a:latin typeface="Cambria Math" panose="02040503050406030204" pitchFamily="18" charset="0"/>
                </a:rPr>
                <a:t>𝑃/𝑃_0 =(𝑇/𝑇_0 )^(</a:t>
              </a:r>
              <a:r>
                <a:rPr lang="en-US" sz="1100" b="0" i="0" kern="1200">
                  <a:latin typeface="Cambria Math" panose="02040503050406030204" pitchFamily="18" charset="0"/>
                  <a:ea typeface="Cambria Math" panose="02040503050406030204" pitchFamily="18" charset="0"/>
                </a:rPr>
                <a:t>𝛾/(𝛾−1))</a:t>
              </a:r>
              <a:endParaRPr lang="es-MX" sz="1100" kern="1200"/>
            </a:p>
          </xdr:txBody>
        </xdr:sp>
      </mc:Fallback>
    </mc:AlternateContent>
    <xdr:clientData/>
  </xdr:oneCellAnchor>
  <xdr:twoCellAnchor editAs="oneCell">
    <xdr:from>
      <xdr:col>0</xdr:col>
      <xdr:colOff>111369</xdr:colOff>
      <xdr:row>117</xdr:row>
      <xdr:rowOff>112275</xdr:rowOff>
    </xdr:from>
    <xdr:to>
      <xdr:col>4</xdr:col>
      <xdr:colOff>400050</xdr:colOff>
      <xdr:row>143</xdr:row>
      <xdr:rowOff>117565</xdr:rowOff>
    </xdr:to>
    <xdr:pic>
      <xdr:nvPicPr>
        <xdr:cNvPr id="3" name="Picture 2">
          <a:extLst>
            <a:ext uri="{FF2B5EF4-FFF2-40B4-BE49-F238E27FC236}">
              <a16:creationId xmlns="" xmlns:a16="http://schemas.microsoft.com/office/drawing/2014/main" id="{25F80604-448F-B015-D105-A97A13CB0066}"/>
            </a:ext>
          </a:extLst>
        </xdr:cNvPr>
        <xdr:cNvPicPr>
          <a:picLocks noChangeAspect="1"/>
        </xdr:cNvPicPr>
      </xdr:nvPicPr>
      <xdr:blipFill>
        <a:blip xmlns:r="http://schemas.openxmlformats.org/officeDocument/2006/relationships" r:embed="rId2"/>
        <a:stretch>
          <a:fillRect/>
        </a:stretch>
      </xdr:blipFill>
      <xdr:spPr>
        <a:xfrm>
          <a:off x="111369" y="20171925"/>
          <a:ext cx="2765181" cy="4472515"/>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5</xdr:col>
      <xdr:colOff>373790</xdr:colOff>
      <xdr:row>123</xdr:row>
      <xdr:rowOff>28575</xdr:rowOff>
    </xdr:from>
    <xdr:to>
      <xdr:col>11</xdr:col>
      <xdr:colOff>143589</xdr:colOff>
      <xdr:row>139</xdr:row>
      <xdr:rowOff>29199</xdr:rowOff>
    </xdr:to>
    <xdr:pic>
      <xdr:nvPicPr>
        <xdr:cNvPr id="4" name="Picture 3">
          <a:extLst>
            <a:ext uri="{FF2B5EF4-FFF2-40B4-BE49-F238E27FC236}">
              <a16:creationId xmlns="" xmlns:a16="http://schemas.microsoft.com/office/drawing/2014/main" id="{4B846C0C-F558-AFB6-E24C-A1AB278BB42E}"/>
            </a:ext>
          </a:extLst>
        </xdr:cNvPr>
        <xdr:cNvPicPr>
          <a:picLocks noChangeAspect="1"/>
        </xdr:cNvPicPr>
      </xdr:nvPicPr>
      <xdr:blipFill>
        <a:blip xmlns:r="http://schemas.openxmlformats.org/officeDocument/2006/relationships" r:embed="rId3"/>
        <a:stretch>
          <a:fillRect/>
        </a:stretch>
      </xdr:blipFill>
      <xdr:spPr>
        <a:xfrm>
          <a:off x="3374165" y="21126450"/>
          <a:ext cx="3141649" cy="2743824"/>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oneCellAnchor>
    <xdr:from>
      <xdr:col>0</xdr:col>
      <xdr:colOff>209550</xdr:colOff>
      <xdr:row>147</xdr:row>
      <xdr:rowOff>42862</xdr:rowOff>
    </xdr:from>
    <xdr:ext cx="2313069" cy="565026"/>
    <mc:AlternateContent xmlns:mc="http://schemas.openxmlformats.org/markup-compatibility/2006" xmlns:a14="http://schemas.microsoft.com/office/drawing/2010/main">
      <mc:Choice Requires="a14">
        <xdr:sp macro="" textlink="">
          <xdr:nvSpPr>
            <xdr:cNvPr id="5" name="TextBox 4">
              <a:extLst>
                <a:ext uri="{FF2B5EF4-FFF2-40B4-BE49-F238E27FC236}">
                  <a16:creationId xmlns="" xmlns:a16="http://schemas.microsoft.com/office/drawing/2014/main" id="{A8BA3FBC-9103-9850-09A8-DDCD8887D004}"/>
                </a:ext>
              </a:extLst>
            </xdr:cNvPr>
            <xdr:cNvSpPr txBox="1"/>
          </xdr:nvSpPr>
          <xdr:spPr>
            <a:xfrm>
              <a:off x="209550" y="25255537"/>
              <a:ext cx="2313069" cy="5650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𝐶</m:t>
                        </m:r>
                      </m:e>
                      <m:sub>
                        <m:r>
                          <a:rPr lang="en-US" sz="1100" b="0" i="1" kern="1200">
                            <a:latin typeface="Cambria Math" panose="02040503050406030204" pitchFamily="18" charset="0"/>
                          </a:rPr>
                          <m:t>𝑝</m:t>
                        </m:r>
                      </m:sub>
                    </m:sSub>
                    <m:r>
                      <a:rPr lang="en-US" sz="1100" b="0" i="1" kern="1200">
                        <a:latin typeface="Cambria Math" panose="02040503050406030204" pitchFamily="18" charset="0"/>
                      </a:rPr>
                      <m:t>=</m:t>
                    </m:r>
                    <m:f>
                      <m:fPr>
                        <m:ctrlPr>
                          <a:rPr lang="en-US" sz="1100" b="0" i="1" kern="1200">
                            <a:latin typeface="Cambria Math" panose="02040503050406030204" pitchFamily="18" charset="0"/>
                          </a:rPr>
                        </m:ctrlPr>
                      </m:fPr>
                      <m:num>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𝐶</m:t>
                            </m:r>
                          </m:e>
                          <m:sub>
                            <m:r>
                              <a:rPr lang="en-US" sz="1100" b="0" i="1" kern="1200">
                                <a:latin typeface="Cambria Math" panose="02040503050406030204" pitchFamily="18" charset="0"/>
                              </a:rPr>
                              <m:t>𝑝</m:t>
                            </m:r>
                            <m:r>
                              <a:rPr lang="en-US" sz="1100" b="0" i="1" kern="1200">
                                <a:latin typeface="Cambria Math" panose="02040503050406030204" pitchFamily="18" charset="0"/>
                              </a:rPr>
                              <m:t>0</m:t>
                            </m:r>
                          </m:sub>
                        </m:sSub>
                      </m:num>
                      <m:den>
                        <m:rad>
                          <m:radPr>
                            <m:degHide m:val="on"/>
                            <m:ctrlPr>
                              <a:rPr lang="en-US" sz="1100" b="0" i="1" kern="1200">
                                <a:latin typeface="Cambria Math" panose="02040503050406030204" pitchFamily="18" charset="0"/>
                              </a:rPr>
                            </m:ctrlPr>
                          </m:radPr>
                          <m:deg/>
                          <m:e>
                            <m:r>
                              <a:rPr lang="en-US" sz="1100" b="0" i="1" kern="1200">
                                <a:latin typeface="Cambria Math" panose="02040503050406030204" pitchFamily="18" charset="0"/>
                              </a:rPr>
                              <m:t>1</m:t>
                            </m:r>
                            <m:r>
                              <a:rPr lang="en-US" sz="1100" b="0" i="1" kern="1200">
                                <a:latin typeface="Cambria Math" panose="02040503050406030204" pitchFamily="18" charset="0"/>
                              </a:rPr>
                              <m:t>−</m:t>
                            </m:r>
                            <m:sSup>
                              <m:sSupPr>
                                <m:ctrlPr>
                                  <a:rPr lang="en-US" sz="1100" b="0" i="1" kern="1200">
                                    <a:latin typeface="Cambria Math" panose="02040503050406030204" pitchFamily="18" charset="0"/>
                                  </a:rPr>
                                </m:ctrlPr>
                              </m:sSupPr>
                              <m:e>
                                <m:r>
                                  <a:rPr lang="en-US" sz="1100" b="0" i="1" kern="1200">
                                    <a:latin typeface="Cambria Math" panose="02040503050406030204" pitchFamily="18" charset="0"/>
                                  </a:rPr>
                                  <m:t>𝑀</m:t>
                                </m:r>
                              </m:e>
                              <m:sup>
                                <m:r>
                                  <a:rPr lang="en-US" sz="1100" b="0" i="1" kern="1200">
                                    <a:latin typeface="Cambria Math" panose="02040503050406030204" pitchFamily="18" charset="0"/>
                                  </a:rPr>
                                  <m:t>2</m:t>
                                </m:r>
                              </m:sup>
                            </m:sSup>
                          </m:e>
                        </m:rad>
                        <m:r>
                          <a:rPr lang="en-US" sz="1100" b="0" i="1" kern="1200">
                            <a:latin typeface="Cambria Math" panose="02040503050406030204" pitchFamily="18" charset="0"/>
                          </a:rPr>
                          <m:t>+</m:t>
                        </m:r>
                        <m:d>
                          <m:dPr>
                            <m:begChr m:val="["/>
                            <m:endChr m:val="]"/>
                            <m:ctrlPr>
                              <a:rPr lang="en-US" sz="1100" b="0" i="1" kern="1200">
                                <a:latin typeface="Cambria Math" panose="02040503050406030204" pitchFamily="18" charset="0"/>
                              </a:rPr>
                            </m:ctrlPr>
                          </m:dPr>
                          <m:e>
                            <m:f>
                              <m:fPr>
                                <m:ctrlPr>
                                  <a:rPr lang="en-US" sz="1100" b="0" i="1" kern="1200">
                                    <a:latin typeface="Cambria Math" panose="02040503050406030204" pitchFamily="18" charset="0"/>
                                  </a:rPr>
                                </m:ctrlPr>
                              </m:fPr>
                              <m:num>
                                <m:sSup>
                                  <m:sSupPr>
                                    <m:ctrlPr>
                                      <a:rPr lang="en-US" sz="1100" b="0" i="1" kern="1200">
                                        <a:latin typeface="Cambria Math" panose="02040503050406030204" pitchFamily="18" charset="0"/>
                                      </a:rPr>
                                    </m:ctrlPr>
                                  </m:sSupPr>
                                  <m:e>
                                    <m:r>
                                      <a:rPr lang="en-US" sz="1100" b="0" i="1" kern="1200">
                                        <a:latin typeface="Cambria Math" panose="02040503050406030204" pitchFamily="18" charset="0"/>
                                      </a:rPr>
                                      <m:t>𝑀</m:t>
                                    </m:r>
                                  </m:e>
                                  <m:sup>
                                    <m:r>
                                      <a:rPr lang="en-US" sz="1100" b="0" i="1" kern="1200">
                                        <a:latin typeface="Cambria Math" panose="02040503050406030204" pitchFamily="18" charset="0"/>
                                      </a:rPr>
                                      <m:t>2</m:t>
                                    </m:r>
                                  </m:sup>
                                </m:sSup>
                              </m:num>
                              <m:den>
                                <m:r>
                                  <a:rPr lang="en-US" sz="1100" b="0" i="1" kern="1200">
                                    <a:latin typeface="Cambria Math" panose="02040503050406030204" pitchFamily="18" charset="0"/>
                                  </a:rPr>
                                  <m:t>1</m:t>
                                </m:r>
                                <m:r>
                                  <a:rPr lang="en-US" sz="1100" b="0" i="1" kern="1200">
                                    <a:latin typeface="Cambria Math" panose="02040503050406030204" pitchFamily="18" charset="0"/>
                                  </a:rPr>
                                  <m:t>+</m:t>
                                </m:r>
                                <m:rad>
                                  <m:radPr>
                                    <m:degHide m:val="on"/>
                                    <m:ctrlPr>
                                      <a:rPr lang="en-US" sz="1100" b="0" i="1" kern="1200">
                                        <a:latin typeface="Cambria Math" panose="02040503050406030204" pitchFamily="18" charset="0"/>
                                      </a:rPr>
                                    </m:ctrlPr>
                                  </m:radPr>
                                  <m:deg/>
                                  <m:e>
                                    <m:r>
                                      <a:rPr lang="en-US" sz="1100" b="0" i="1" kern="1200">
                                        <a:latin typeface="Cambria Math" panose="02040503050406030204" pitchFamily="18" charset="0"/>
                                      </a:rPr>
                                      <m:t>1</m:t>
                                    </m:r>
                                    <m:r>
                                      <a:rPr lang="en-US" sz="1100" b="0" i="1" kern="1200">
                                        <a:latin typeface="Cambria Math" panose="02040503050406030204" pitchFamily="18" charset="0"/>
                                      </a:rPr>
                                      <m:t>−</m:t>
                                    </m:r>
                                    <m:sSup>
                                      <m:sSupPr>
                                        <m:ctrlPr>
                                          <a:rPr lang="en-US" sz="1100" b="0" i="1" kern="1200">
                                            <a:latin typeface="Cambria Math" panose="02040503050406030204" pitchFamily="18" charset="0"/>
                                          </a:rPr>
                                        </m:ctrlPr>
                                      </m:sSupPr>
                                      <m:e>
                                        <m:r>
                                          <a:rPr lang="en-US" sz="1100" b="0" i="1" kern="1200">
                                            <a:latin typeface="Cambria Math" panose="02040503050406030204" pitchFamily="18" charset="0"/>
                                          </a:rPr>
                                          <m:t>𝑀</m:t>
                                        </m:r>
                                      </m:e>
                                      <m:sup>
                                        <m:r>
                                          <a:rPr lang="en-US" sz="1100" b="0" i="1" kern="1200">
                                            <a:latin typeface="Cambria Math" panose="02040503050406030204" pitchFamily="18" charset="0"/>
                                          </a:rPr>
                                          <m:t>2</m:t>
                                        </m:r>
                                      </m:sup>
                                    </m:sSup>
                                  </m:e>
                                </m:rad>
                              </m:den>
                            </m:f>
                          </m:e>
                        </m:d>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𝐶</m:t>
                            </m:r>
                          </m:e>
                          <m:sub>
                            <m:r>
                              <a:rPr lang="en-US" sz="1100" b="0" i="1" kern="1200">
                                <a:latin typeface="Cambria Math" panose="02040503050406030204" pitchFamily="18" charset="0"/>
                              </a:rPr>
                              <m:t>𝑝</m:t>
                            </m:r>
                            <m:r>
                              <a:rPr lang="en-US" sz="1100" b="0" i="1" kern="1200">
                                <a:latin typeface="Cambria Math" panose="02040503050406030204" pitchFamily="18" charset="0"/>
                              </a:rPr>
                              <m:t>0</m:t>
                            </m:r>
                          </m:sub>
                        </m:sSub>
                        <m:r>
                          <a:rPr lang="en-US" sz="1100" b="0" i="1" kern="1200">
                            <a:latin typeface="Cambria Math" panose="02040503050406030204" pitchFamily="18" charset="0"/>
                          </a:rPr>
                          <m:t>/</m:t>
                        </m:r>
                        <m:r>
                          <a:rPr lang="en-US" sz="1100" b="0" i="1" kern="1200">
                            <a:latin typeface="Cambria Math" panose="02040503050406030204" pitchFamily="18" charset="0"/>
                          </a:rPr>
                          <m:t>2</m:t>
                        </m:r>
                      </m:den>
                    </m:f>
                  </m:oMath>
                </m:oMathPara>
              </a14:m>
              <a:endParaRPr lang="es-MX" sz="1100" kern="1200"/>
            </a:p>
          </xdr:txBody>
        </xdr:sp>
      </mc:Choice>
      <mc:Fallback xmlns="">
        <xdr:sp macro="" textlink="">
          <xdr:nvSpPr>
            <xdr:cNvPr id="5" name="TextBox 4">
              <a:extLst>
                <a:ext uri="{FF2B5EF4-FFF2-40B4-BE49-F238E27FC236}">
                  <a16:creationId xmlns:a16="http://schemas.microsoft.com/office/drawing/2014/main" id="{A8BA3FBC-9103-9850-09A8-DDCD8887D004}"/>
                </a:ext>
              </a:extLst>
            </xdr:cNvPr>
            <xdr:cNvSpPr txBox="1"/>
          </xdr:nvSpPr>
          <xdr:spPr>
            <a:xfrm>
              <a:off x="209550" y="25255537"/>
              <a:ext cx="2313069" cy="5650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kern="1200">
                  <a:latin typeface="Cambria Math" panose="02040503050406030204" pitchFamily="18" charset="0"/>
                </a:rPr>
                <a:t>𝐶_𝑝=𝐶_𝑝0/(√(1−𝑀^2 )+[𝑀^2/(1+√(1−𝑀^2 ))] 𝐶_𝑝0/2)</a:t>
              </a:r>
              <a:endParaRPr lang="es-MX" sz="1100" kern="1200"/>
            </a:p>
          </xdr:txBody>
        </xdr:sp>
      </mc:Fallback>
    </mc:AlternateContent>
    <xdr:clientData/>
  </xdr:oneCellAnchor>
  <xdr:oneCellAnchor>
    <xdr:from>
      <xdr:col>0</xdr:col>
      <xdr:colOff>266700</xdr:colOff>
      <xdr:row>151</xdr:row>
      <xdr:rowOff>157162</xdr:rowOff>
    </xdr:from>
    <xdr:ext cx="2534220" cy="712118"/>
    <mc:AlternateContent xmlns:mc="http://schemas.openxmlformats.org/markup-compatibility/2006" xmlns:a14="http://schemas.microsoft.com/office/drawing/2010/main">
      <mc:Choice Requires="a14">
        <xdr:sp macro="" textlink="">
          <xdr:nvSpPr>
            <xdr:cNvPr id="6" name="TextBox 5">
              <a:extLst>
                <a:ext uri="{FF2B5EF4-FFF2-40B4-BE49-F238E27FC236}">
                  <a16:creationId xmlns="" xmlns:a16="http://schemas.microsoft.com/office/drawing/2014/main" id="{4B7E12D9-9242-9E1C-099C-D2BBD2CCD9CB}"/>
                </a:ext>
              </a:extLst>
            </xdr:cNvPr>
            <xdr:cNvSpPr txBox="1"/>
          </xdr:nvSpPr>
          <xdr:spPr>
            <a:xfrm>
              <a:off x="266700" y="26055637"/>
              <a:ext cx="2534220" cy="7121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𝐶</m:t>
                        </m:r>
                      </m:e>
                      <m:sub>
                        <m:r>
                          <a:rPr lang="en-US" sz="1100" b="0" i="1" kern="1200">
                            <a:latin typeface="Cambria Math" panose="02040503050406030204" pitchFamily="18" charset="0"/>
                          </a:rPr>
                          <m:t>𝑝</m:t>
                        </m:r>
                        <m:r>
                          <a:rPr lang="en-US" sz="1100" b="0" i="1" kern="1200">
                            <a:latin typeface="Cambria Math" panose="02040503050406030204" pitchFamily="18" charset="0"/>
                          </a:rPr>
                          <m:t>,</m:t>
                        </m:r>
                        <m:r>
                          <a:rPr lang="en-US" sz="1100" b="0" i="1" kern="1200">
                            <a:latin typeface="Cambria Math" panose="02040503050406030204" pitchFamily="18" charset="0"/>
                          </a:rPr>
                          <m:t>𝑐𝑟</m:t>
                        </m:r>
                      </m:sub>
                    </m:sSub>
                    <m:r>
                      <a:rPr lang="en-US" sz="1100" b="0" i="1" kern="1200">
                        <a:latin typeface="Cambria Math" panose="02040503050406030204" pitchFamily="18" charset="0"/>
                      </a:rPr>
                      <m:t>=</m:t>
                    </m:r>
                    <m:f>
                      <m:fPr>
                        <m:ctrlPr>
                          <a:rPr lang="en-US" sz="1100" b="0" i="1" kern="1200">
                            <a:latin typeface="Cambria Math" panose="02040503050406030204" pitchFamily="18" charset="0"/>
                          </a:rPr>
                        </m:ctrlPr>
                      </m:fPr>
                      <m:num>
                        <m:r>
                          <a:rPr lang="en-US" sz="1100" b="0" i="1" kern="1200">
                            <a:latin typeface="Cambria Math" panose="02040503050406030204" pitchFamily="18" charset="0"/>
                          </a:rPr>
                          <m:t>2</m:t>
                        </m:r>
                      </m:num>
                      <m:den>
                        <m:r>
                          <a:rPr lang="en-US" sz="1100" b="0" i="1" kern="1200">
                            <a:latin typeface="Cambria Math" panose="02040503050406030204" pitchFamily="18" charset="0"/>
                            <a:ea typeface="Cambria Math" panose="02040503050406030204" pitchFamily="18" charset="0"/>
                          </a:rPr>
                          <m:t>𝛾</m:t>
                        </m:r>
                        <m:sSubSup>
                          <m:sSubSupPr>
                            <m:ctrlPr>
                              <a:rPr lang="en-US" sz="1100" b="0" i="1" kern="1200">
                                <a:latin typeface="Cambria Math" panose="02040503050406030204" pitchFamily="18" charset="0"/>
                                <a:ea typeface="Cambria Math" panose="02040503050406030204" pitchFamily="18" charset="0"/>
                              </a:rPr>
                            </m:ctrlPr>
                          </m:sSubSupPr>
                          <m:e>
                            <m:r>
                              <a:rPr lang="en-US" sz="1100" b="0" i="1" kern="1200">
                                <a:latin typeface="Cambria Math" panose="02040503050406030204" pitchFamily="18" charset="0"/>
                                <a:ea typeface="Cambria Math" panose="02040503050406030204" pitchFamily="18" charset="0"/>
                              </a:rPr>
                              <m:t>𝑀</m:t>
                            </m:r>
                          </m:e>
                          <m:sub>
                            <m:r>
                              <a:rPr lang="en-US" sz="1100" b="0" i="1" kern="1200">
                                <a:latin typeface="Cambria Math" panose="02040503050406030204" pitchFamily="18" charset="0"/>
                                <a:ea typeface="Cambria Math" panose="02040503050406030204" pitchFamily="18" charset="0"/>
                              </a:rPr>
                              <m:t>𝑐𝑟</m:t>
                            </m:r>
                          </m:sub>
                          <m:sup>
                            <m:r>
                              <a:rPr lang="en-US" sz="1100" b="0" i="1" kern="1200">
                                <a:latin typeface="Cambria Math" panose="02040503050406030204" pitchFamily="18" charset="0"/>
                                <a:ea typeface="Cambria Math" panose="02040503050406030204" pitchFamily="18" charset="0"/>
                              </a:rPr>
                              <m:t>2</m:t>
                            </m:r>
                          </m:sup>
                        </m:sSubSup>
                      </m:den>
                    </m:f>
                    <m:r>
                      <a:rPr lang="en-US" sz="1100" b="0" i="1" kern="1200">
                        <a:latin typeface="Cambria Math" panose="02040503050406030204" pitchFamily="18" charset="0"/>
                      </a:rPr>
                      <m:t>[</m:t>
                    </m:r>
                    <m:sSup>
                      <m:sSupPr>
                        <m:ctrlPr>
                          <a:rPr lang="en-US" sz="1100" b="0" i="1" kern="1200">
                            <a:latin typeface="Cambria Math" panose="02040503050406030204" pitchFamily="18" charset="0"/>
                            <a:ea typeface="Cambria Math" panose="02040503050406030204" pitchFamily="18" charset="0"/>
                          </a:rPr>
                        </m:ctrlPr>
                      </m:sSupPr>
                      <m:e>
                        <m:d>
                          <m:dPr>
                            <m:ctrlPr>
                              <a:rPr lang="en-US" sz="1100" b="0" i="1" kern="1200">
                                <a:latin typeface="Cambria Math" panose="02040503050406030204" pitchFamily="18" charset="0"/>
                                <a:ea typeface="Cambria Math" panose="02040503050406030204" pitchFamily="18" charset="0"/>
                              </a:rPr>
                            </m:ctrlPr>
                          </m:dPr>
                          <m:e>
                            <m:f>
                              <m:fPr>
                                <m:ctrlPr>
                                  <a:rPr lang="en-US" sz="1100" b="0" i="1" kern="1200">
                                    <a:latin typeface="Cambria Math" panose="02040503050406030204" pitchFamily="18" charset="0"/>
                                    <a:ea typeface="Cambria Math" panose="02040503050406030204" pitchFamily="18" charset="0"/>
                                  </a:rPr>
                                </m:ctrlPr>
                              </m:fPr>
                              <m:num>
                                <m:d>
                                  <m:dPr>
                                    <m:ctrlPr>
                                      <a:rPr lang="en-US" sz="1100" b="0" i="1" kern="1200">
                                        <a:latin typeface="Cambria Math" panose="02040503050406030204" pitchFamily="18" charset="0"/>
                                      </a:rPr>
                                    </m:ctrlPr>
                                  </m:dPr>
                                  <m:e>
                                    <m:r>
                                      <a:rPr lang="en-US" sz="1100" b="0" i="1" kern="1200">
                                        <a:latin typeface="Cambria Math" panose="02040503050406030204" pitchFamily="18" charset="0"/>
                                      </a:rPr>
                                      <m:t>1</m:t>
                                    </m:r>
                                    <m:r>
                                      <a:rPr lang="en-US" sz="1100" b="0" i="1" kern="1200">
                                        <a:latin typeface="Cambria Math" panose="02040503050406030204" pitchFamily="18" charset="0"/>
                                      </a:rPr>
                                      <m:t>+</m:t>
                                    </m:r>
                                    <m:f>
                                      <m:fPr>
                                        <m:ctrlPr>
                                          <a:rPr lang="en-US" sz="1100" b="0" i="1" kern="1200">
                                            <a:latin typeface="Cambria Math" panose="02040503050406030204" pitchFamily="18" charset="0"/>
                                            <a:ea typeface="Cambria Math" panose="02040503050406030204" pitchFamily="18" charset="0"/>
                                          </a:rPr>
                                        </m:ctrlPr>
                                      </m:fPr>
                                      <m:num>
                                        <m:r>
                                          <a:rPr lang="en-US" sz="1100" b="0" i="1" kern="1200">
                                            <a:latin typeface="Cambria Math" panose="02040503050406030204" pitchFamily="18" charset="0"/>
                                            <a:ea typeface="Cambria Math" panose="02040503050406030204" pitchFamily="18" charset="0"/>
                                          </a:rPr>
                                          <m:t>𝛾</m:t>
                                        </m:r>
                                        <m:r>
                                          <a:rPr lang="en-US" sz="1100" b="0" i="1" kern="1200">
                                            <a:latin typeface="Cambria Math" panose="02040503050406030204" pitchFamily="18" charset="0"/>
                                            <a:ea typeface="Cambria Math" panose="02040503050406030204" pitchFamily="18" charset="0"/>
                                          </a:rPr>
                                          <m:t>−</m:t>
                                        </m:r>
                                        <m:r>
                                          <a:rPr lang="en-US" sz="1100" b="0" i="1" kern="1200">
                                            <a:latin typeface="Cambria Math" panose="02040503050406030204" pitchFamily="18" charset="0"/>
                                            <a:ea typeface="Cambria Math" panose="02040503050406030204" pitchFamily="18" charset="0"/>
                                          </a:rPr>
                                          <m:t>1</m:t>
                                        </m:r>
                                      </m:num>
                                      <m:den>
                                        <m:r>
                                          <a:rPr lang="en-US" sz="1100" b="0" i="1" kern="1200">
                                            <a:latin typeface="Cambria Math" panose="02040503050406030204" pitchFamily="18" charset="0"/>
                                            <a:ea typeface="Cambria Math" panose="02040503050406030204" pitchFamily="18" charset="0"/>
                                          </a:rPr>
                                          <m:t>2</m:t>
                                        </m:r>
                                      </m:den>
                                    </m:f>
                                  </m:e>
                                </m:d>
                                <m:sSubSup>
                                  <m:sSubSupPr>
                                    <m:ctrlPr>
                                      <a:rPr lang="en-US" sz="1100" b="0" i="1" kern="1200">
                                        <a:latin typeface="Cambria Math" panose="02040503050406030204" pitchFamily="18" charset="0"/>
                                        <a:ea typeface="Cambria Math" panose="02040503050406030204" pitchFamily="18" charset="0"/>
                                      </a:rPr>
                                    </m:ctrlPr>
                                  </m:sSubSupPr>
                                  <m:e>
                                    <m:r>
                                      <a:rPr lang="en-US" sz="1100" b="0" i="1" kern="1200">
                                        <a:latin typeface="Cambria Math" panose="02040503050406030204" pitchFamily="18" charset="0"/>
                                        <a:ea typeface="Cambria Math" panose="02040503050406030204" pitchFamily="18" charset="0"/>
                                      </a:rPr>
                                      <m:t>𝑀</m:t>
                                    </m:r>
                                  </m:e>
                                  <m:sub>
                                    <m:r>
                                      <a:rPr lang="en-US" sz="1100" b="0" i="1" kern="1200">
                                        <a:latin typeface="Cambria Math" panose="02040503050406030204" pitchFamily="18" charset="0"/>
                                        <a:ea typeface="Cambria Math" panose="02040503050406030204" pitchFamily="18" charset="0"/>
                                      </a:rPr>
                                      <m:t>𝑐𝑟</m:t>
                                    </m:r>
                                  </m:sub>
                                  <m:sup>
                                    <m:r>
                                      <a:rPr lang="en-US" sz="1100" b="0" i="1" kern="1200">
                                        <a:latin typeface="Cambria Math" panose="02040503050406030204" pitchFamily="18" charset="0"/>
                                        <a:ea typeface="Cambria Math" panose="02040503050406030204" pitchFamily="18" charset="0"/>
                                      </a:rPr>
                                      <m:t>2</m:t>
                                    </m:r>
                                  </m:sup>
                                </m:sSubSup>
                              </m:num>
                              <m:den>
                                <m:r>
                                  <a:rPr lang="en-US" sz="1100" b="0" i="1" kern="1200">
                                    <a:latin typeface="Cambria Math" panose="02040503050406030204" pitchFamily="18" charset="0"/>
                                    <a:ea typeface="Cambria Math" panose="02040503050406030204" pitchFamily="18" charset="0"/>
                                  </a:rPr>
                                  <m:t>1</m:t>
                                </m:r>
                                <m:r>
                                  <a:rPr lang="en-US" sz="1100" b="0" i="1" kern="1200">
                                    <a:latin typeface="Cambria Math" panose="02040503050406030204" pitchFamily="18" charset="0"/>
                                    <a:ea typeface="Cambria Math" panose="02040503050406030204" pitchFamily="18" charset="0"/>
                                  </a:rPr>
                                  <m:t>+</m:t>
                                </m:r>
                                <m:f>
                                  <m:fPr>
                                    <m:ctrlPr>
                                      <a:rPr lang="en-US" sz="1100" b="0" i="1" kern="1200">
                                        <a:latin typeface="Cambria Math" panose="02040503050406030204" pitchFamily="18" charset="0"/>
                                        <a:ea typeface="Cambria Math" panose="02040503050406030204" pitchFamily="18" charset="0"/>
                                      </a:rPr>
                                    </m:ctrlPr>
                                  </m:fPr>
                                  <m:num>
                                    <m:r>
                                      <a:rPr lang="en-US" sz="1100" b="0" i="1" kern="1200">
                                        <a:latin typeface="Cambria Math" panose="02040503050406030204" pitchFamily="18" charset="0"/>
                                        <a:ea typeface="Cambria Math" panose="02040503050406030204" pitchFamily="18" charset="0"/>
                                      </a:rPr>
                                      <m:t>𝛾</m:t>
                                    </m:r>
                                    <m:r>
                                      <a:rPr lang="en-US" sz="1100" b="0" i="1" kern="1200">
                                        <a:latin typeface="Cambria Math" panose="02040503050406030204" pitchFamily="18" charset="0"/>
                                        <a:ea typeface="Cambria Math" panose="02040503050406030204" pitchFamily="18" charset="0"/>
                                      </a:rPr>
                                      <m:t>−</m:t>
                                    </m:r>
                                    <m:r>
                                      <a:rPr lang="en-US" sz="1100" b="0" i="1" kern="1200">
                                        <a:latin typeface="Cambria Math" panose="02040503050406030204" pitchFamily="18" charset="0"/>
                                        <a:ea typeface="Cambria Math" panose="02040503050406030204" pitchFamily="18" charset="0"/>
                                      </a:rPr>
                                      <m:t>1</m:t>
                                    </m:r>
                                  </m:num>
                                  <m:den>
                                    <m:r>
                                      <a:rPr lang="en-US" sz="1100" b="0" i="1" kern="1200">
                                        <a:latin typeface="Cambria Math" panose="02040503050406030204" pitchFamily="18" charset="0"/>
                                        <a:ea typeface="Cambria Math" panose="02040503050406030204" pitchFamily="18" charset="0"/>
                                      </a:rPr>
                                      <m:t>2</m:t>
                                    </m:r>
                                  </m:den>
                                </m:f>
                              </m:den>
                            </m:f>
                          </m:e>
                        </m:d>
                      </m:e>
                      <m:sup>
                        <m:f>
                          <m:fPr>
                            <m:ctrlPr>
                              <a:rPr lang="en-US" sz="1100" b="0" i="1" kern="1200">
                                <a:latin typeface="Cambria Math" panose="02040503050406030204" pitchFamily="18" charset="0"/>
                                <a:ea typeface="Cambria Math" panose="02040503050406030204" pitchFamily="18" charset="0"/>
                              </a:rPr>
                            </m:ctrlPr>
                          </m:fPr>
                          <m:num>
                            <m:r>
                              <a:rPr lang="en-US" sz="1100" b="0" i="1" kern="1200">
                                <a:latin typeface="Cambria Math" panose="02040503050406030204" pitchFamily="18" charset="0"/>
                                <a:ea typeface="Cambria Math" panose="02040503050406030204" pitchFamily="18" charset="0"/>
                              </a:rPr>
                              <m:t>𝛾</m:t>
                            </m:r>
                          </m:num>
                          <m:den>
                            <m:r>
                              <a:rPr lang="en-US" sz="1100" b="0" i="1" kern="1200">
                                <a:latin typeface="Cambria Math" panose="02040503050406030204" pitchFamily="18" charset="0"/>
                                <a:ea typeface="Cambria Math" panose="02040503050406030204" pitchFamily="18" charset="0"/>
                              </a:rPr>
                              <m:t>𝛾</m:t>
                            </m:r>
                            <m:r>
                              <a:rPr lang="en-US" sz="1100" b="0" i="1" kern="1200">
                                <a:latin typeface="Cambria Math" panose="02040503050406030204" pitchFamily="18" charset="0"/>
                                <a:ea typeface="Cambria Math" panose="02040503050406030204" pitchFamily="18" charset="0"/>
                              </a:rPr>
                              <m:t>−</m:t>
                            </m:r>
                            <m:r>
                              <a:rPr lang="en-US" sz="1100" b="0" i="1" kern="1200">
                                <a:latin typeface="Cambria Math" panose="02040503050406030204" pitchFamily="18" charset="0"/>
                                <a:ea typeface="Cambria Math" panose="02040503050406030204" pitchFamily="18" charset="0"/>
                              </a:rPr>
                              <m:t>1</m:t>
                            </m:r>
                          </m:den>
                        </m:f>
                      </m:sup>
                    </m:sSup>
                    <m:r>
                      <a:rPr lang="en-US" sz="1100" b="0" i="1" kern="1200">
                        <a:latin typeface="Cambria Math" panose="02040503050406030204" pitchFamily="18" charset="0"/>
                        <a:ea typeface="Cambria Math" panose="02040503050406030204" pitchFamily="18" charset="0"/>
                      </a:rPr>
                      <m:t>−</m:t>
                    </m:r>
                    <m:r>
                      <a:rPr lang="en-US" sz="1100" b="0" i="1" kern="1200">
                        <a:latin typeface="Cambria Math" panose="02040503050406030204" pitchFamily="18" charset="0"/>
                        <a:ea typeface="Cambria Math" panose="02040503050406030204" pitchFamily="18" charset="0"/>
                      </a:rPr>
                      <m:t>1</m:t>
                    </m:r>
                    <m:r>
                      <a:rPr lang="en-US" sz="1100" b="0" i="1" kern="1200">
                        <a:latin typeface="Cambria Math" panose="02040503050406030204" pitchFamily="18" charset="0"/>
                      </a:rPr>
                      <m:t>]</m:t>
                    </m:r>
                  </m:oMath>
                </m:oMathPara>
              </a14:m>
              <a:endParaRPr lang="es-MX" sz="1100" kern="1200"/>
            </a:p>
          </xdr:txBody>
        </xdr:sp>
      </mc:Choice>
      <mc:Fallback xmlns="">
        <xdr:sp macro="" textlink="">
          <xdr:nvSpPr>
            <xdr:cNvPr id="6" name="TextBox 5">
              <a:extLst>
                <a:ext uri="{FF2B5EF4-FFF2-40B4-BE49-F238E27FC236}">
                  <a16:creationId xmlns:a16="http://schemas.microsoft.com/office/drawing/2014/main" id="{4B7E12D9-9242-9E1C-099C-D2BBD2CCD9CB}"/>
                </a:ext>
              </a:extLst>
            </xdr:cNvPr>
            <xdr:cNvSpPr txBox="1"/>
          </xdr:nvSpPr>
          <xdr:spPr>
            <a:xfrm>
              <a:off x="266700" y="26055637"/>
              <a:ext cx="2534220" cy="7121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kern="1200">
                  <a:latin typeface="Cambria Math" panose="02040503050406030204" pitchFamily="18" charset="0"/>
                </a:rPr>
                <a:t>𝐶_(𝑝,𝑐𝑟)=2/(</a:t>
              </a:r>
              <a:r>
                <a:rPr lang="en-US" sz="1100" b="0" i="0" kern="1200">
                  <a:latin typeface="Cambria Math" panose="02040503050406030204" pitchFamily="18" charset="0"/>
                  <a:ea typeface="Cambria Math" panose="02040503050406030204" pitchFamily="18" charset="0"/>
                </a:rPr>
                <a:t>𝛾𝑀_𝑐𝑟^2 )</a:t>
              </a:r>
              <a:r>
                <a:rPr lang="en-US" sz="1100" b="0" i="0" kern="1200">
                  <a:latin typeface="Cambria Math" panose="02040503050406030204" pitchFamily="18" charset="0"/>
                </a:rPr>
                <a:t>[</a:t>
              </a:r>
              <a:r>
                <a:rPr lang="en-US" sz="1100" b="0" i="0" kern="1200">
                  <a:latin typeface="Cambria Math" panose="02040503050406030204" pitchFamily="18" charset="0"/>
                  <a:ea typeface="Cambria Math" panose="02040503050406030204" pitchFamily="18" charset="0"/>
                </a:rPr>
                <a:t>(((</a:t>
              </a:r>
              <a:r>
                <a:rPr lang="en-US" sz="1100" b="0" i="0" kern="1200">
                  <a:latin typeface="Cambria Math" panose="02040503050406030204" pitchFamily="18" charset="0"/>
                </a:rPr>
                <a:t>1+</a:t>
              </a:r>
              <a:r>
                <a:rPr lang="en-US" sz="1100" b="0" i="0" kern="1200">
                  <a:latin typeface="Cambria Math" panose="02040503050406030204" pitchFamily="18" charset="0"/>
                  <a:ea typeface="Cambria Math" panose="02040503050406030204" pitchFamily="18" charset="0"/>
                </a:rPr>
                <a:t>(𝛾−1)/2) 𝑀_𝑐𝑟^2)/(1+(𝛾−1)/2))^(𝛾/(𝛾−1))−1</a:t>
              </a:r>
              <a:r>
                <a:rPr lang="en-US" sz="1100" b="0" i="0" kern="1200">
                  <a:latin typeface="Cambria Math" panose="02040503050406030204" pitchFamily="18" charset="0"/>
                </a:rPr>
                <a:t>]</a:t>
              </a:r>
              <a:endParaRPr lang="es-MX" sz="1100" kern="1200"/>
            </a:p>
          </xdr:txBody>
        </xdr:sp>
      </mc:Fallback>
    </mc:AlternateContent>
    <xdr:clientData/>
  </xdr:oneCellAnchor>
  <xdr:twoCellAnchor>
    <xdr:from>
      <xdr:col>3</xdr:col>
      <xdr:colOff>228608</xdr:colOff>
      <xdr:row>165</xdr:row>
      <xdr:rowOff>76208</xdr:rowOff>
    </xdr:from>
    <xdr:to>
      <xdr:col>11</xdr:col>
      <xdr:colOff>381008</xdr:colOff>
      <xdr:row>186</xdr:row>
      <xdr:rowOff>38100</xdr:rowOff>
    </xdr:to>
    <xdr:graphicFrame macro="">
      <xdr:nvGraphicFramePr>
        <xdr:cNvPr id="8" name="Chart 7">
          <a:extLst>
            <a:ext uri="{FF2B5EF4-FFF2-40B4-BE49-F238E27FC236}">
              <a16:creationId xmlns="" xmlns:a16="http://schemas.microsoft.com/office/drawing/2014/main" id="{10EB7F2F-3037-0F02-65F4-9470FC24037D}"/>
            </a:ext>
            <a:ext uri="{147F2762-F138-4A5C-976F-8EAC2B608ADB}">
              <a16:predDERef xmlns="" xmlns:a16="http://schemas.microsoft.com/office/drawing/2014/main" pred="{4B7E12D9-9242-9E1C-099C-D2BBD2CCD9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47625</xdr:colOff>
      <xdr:row>191</xdr:row>
      <xdr:rowOff>100013</xdr:rowOff>
    </xdr:from>
    <xdr:to>
      <xdr:col>11</xdr:col>
      <xdr:colOff>238125</xdr:colOff>
      <xdr:row>207</xdr:row>
      <xdr:rowOff>100013</xdr:rowOff>
    </xdr:to>
    <xdr:graphicFrame macro="">
      <xdr:nvGraphicFramePr>
        <xdr:cNvPr id="9" name="Chart 8">
          <a:extLst>
            <a:ext uri="{FF2B5EF4-FFF2-40B4-BE49-F238E27FC236}">
              <a16:creationId xmlns="" xmlns:a16="http://schemas.microsoft.com/office/drawing/2014/main" id="{1E1B4768-DDEF-37F2-E2F6-DF6922649F41}"/>
            </a:ext>
            <a:ext uri="{147F2762-F138-4A5C-976F-8EAC2B608ADB}">
              <a16:predDERef xmlns="" xmlns:a16="http://schemas.microsoft.com/office/drawing/2014/main" pred="{10EB7F2F-3037-0F02-65F4-9470FC2403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31824</xdr:colOff>
      <xdr:row>12</xdr:row>
      <xdr:rowOff>15241</xdr:rowOff>
    </xdr:from>
    <xdr:to>
      <xdr:col>6</xdr:col>
      <xdr:colOff>595704</xdr:colOff>
      <xdr:row>21</xdr:row>
      <xdr:rowOff>160021</xdr:rowOff>
    </xdr:to>
    <xdr:graphicFrame macro="">
      <xdr:nvGraphicFramePr>
        <xdr:cNvPr id="2" name="Chart 1">
          <a:extLst>
            <a:ext uri="{FF2B5EF4-FFF2-40B4-BE49-F238E27FC236}">
              <a16:creationId xmlns="" xmlns:a16="http://schemas.microsoft.com/office/drawing/2014/main" id="{AF0E0E67-9C36-058A-4D85-04C0B1DFFA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30</xdr:row>
      <xdr:rowOff>0</xdr:rowOff>
    </xdr:from>
    <xdr:to>
      <xdr:col>6</xdr:col>
      <xdr:colOff>594360</xdr:colOff>
      <xdr:row>39</xdr:row>
      <xdr:rowOff>175260</xdr:rowOff>
    </xdr:to>
    <xdr:graphicFrame macro="">
      <xdr:nvGraphicFramePr>
        <xdr:cNvPr id="4" name="Chart 3">
          <a:extLst>
            <a:ext uri="{FF2B5EF4-FFF2-40B4-BE49-F238E27FC236}">
              <a16:creationId xmlns="" xmlns:a16="http://schemas.microsoft.com/office/drawing/2014/main" id="{E128D49A-3629-4BBF-9581-DB9D69B8A541}"/>
            </a:ext>
            <a:ext uri="{147F2762-F138-4A5C-976F-8EAC2B608ADB}">
              <a16:predDERef xmlns="" xmlns:a16="http://schemas.microsoft.com/office/drawing/2014/main" pred="{AF0E0E67-9C36-058A-4D85-04C0B1DFFA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7395</xdr:colOff>
      <xdr:row>0</xdr:row>
      <xdr:rowOff>188820</xdr:rowOff>
    </xdr:from>
    <xdr:to>
      <xdr:col>14</xdr:col>
      <xdr:colOff>354105</xdr:colOff>
      <xdr:row>9</xdr:row>
      <xdr:rowOff>169770</xdr:rowOff>
    </xdr:to>
    <xdr:graphicFrame macro="">
      <xdr:nvGraphicFramePr>
        <xdr:cNvPr id="5" name="Chart 4">
          <a:extLst>
            <a:ext uri="{FF2B5EF4-FFF2-40B4-BE49-F238E27FC236}">
              <a16:creationId xmlns="" xmlns:a16="http://schemas.microsoft.com/office/drawing/2014/main" id="{4705D049-9711-4AD6-8388-EAF961A55C4C}"/>
            </a:ext>
            <a:ext uri="{147F2762-F138-4A5C-976F-8EAC2B608ADB}">
              <a16:predDERef xmlns="" xmlns:a16="http://schemas.microsoft.com/office/drawing/2014/main" pred="{E128D49A-3629-4BBF-9581-DB9D69B8A5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26896</xdr:colOff>
      <xdr:row>49</xdr:row>
      <xdr:rowOff>26895</xdr:rowOff>
    </xdr:from>
    <xdr:to>
      <xdr:col>6</xdr:col>
      <xdr:colOff>555813</xdr:colOff>
      <xdr:row>58</xdr:row>
      <xdr:rowOff>143436</xdr:rowOff>
    </xdr:to>
    <xdr:graphicFrame macro="">
      <xdr:nvGraphicFramePr>
        <xdr:cNvPr id="7" name="Chart 6">
          <a:extLst>
            <a:ext uri="{FF2B5EF4-FFF2-40B4-BE49-F238E27FC236}">
              <a16:creationId xmlns="" xmlns:a16="http://schemas.microsoft.com/office/drawing/2014/main" id="{64CC32F9-70E7-407E-A2B4-7366728088AD}"/>
            </a:ext>
            <a:ext uri="{147F2762-F138-4A5C-976F-8EAC2B608ADB}">
              <a16:predDERef xmlns="" xmlns:a16="http://schemas.microsoft.com/office/drawing/2014/main" pred="{4705D049-9711-4AD6-8388-EAF961A55C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87</xdr:row>
      <xdr:rowOff>0</xdr:rowOff>
    </xdr:from>
    <xdr:to>
      <xdr:col>6</xdr:col>
      <xdr:colOff>594360</xdr:colOff>
      <xdr:row>96</xdr:row>
      <xdr:rowOff>175260</xdr:rowOff>
    </xdr:to>
    <xdr:graphicFrame macro="">
      <xdr:nvGraphicFramePr>
        <xdr:cNvPr id="8" name="Chart 7">
          <a:extLst>
            <a:ext uri="{FF2B5EF4-FFF2-40B4-BE49-F238E27FC236}">
              <a16:creationId xmlns="" xmlns:a16="http://schemas.microsoft.com/office/drawing/2014/main" id="{250CC376-444D-4A69-B396-08361C76F808}"/>
            </a:ext>
            <a:ext uri="{147F2762-F138-4A5C-976F-8EAC2B608ADB}">
              <a16:predDERef xmlns="" xmlns:a16="http://schemas.microsoft.com/office/drawing/2014/main" pred="{64CC32F9-70E7-407E-A2B4-7366728088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0</xdr:colOff>
      <xdr:row>49</xdr:row>
      <xdr:rowOff>0</xdr:rowOff>
    </xdr:from>
    <xdr:to>
      <xdr:col>18</xdr:col>
      <xdr:colOff>594360</xdr:colOff>
      <xdr:row>58</xdr:row>
      <xdr:rowOff>175260</xdr:rowOff>
    </xdr:to>
    <xdr:graphicFrame macro="">
      <xdr:nvGraphicFramePr>
        <xdr:cNvPr id="9" name="Chart 8">
          <a:extLst>
            <a:ext uri="{FF2B5EF4-FFF2-40B4-BE49-F238E27FC236}">
              <a16:creationId xmlns="" xmlns:a16="http://schemas.microsoft.com/office/drawing/2014/main" id="{C15CA873-26E1-4AC6-B585-4EB97F3C73DC}"/>
            </a:ext>
            <a:ext uri="{147F2762-F138-4A5C-976F-8EAC2B608ADB}">
              <a16:predDERef xmlns="" xmlns:a16="http://schemas.microsoft.com/office/drawing/2014/main" pred="{250CC376-444D-4A69-B396-08361C76F8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31824</xdr:colOff>
      <xdr:row>12</xdr:row>
      <xdr:rowOff>15241</xdr:rowOff>
    </xdr:from>
    <xdr:to>
      <xdr:col>18</xdr:col>
      <xdr:colOff>595704</xdr:colOff>
      <xdr:row>21</xdr:row>
      <xdr:rowOff>160021</xdr:rowOff>
    </xdr:to>
    <xdr:graphicFrame macro="">
      <xdr:nvGraphicFramePr>
        <xdr:cNvPr id="11" name="Chart 10">
          <a:extLst>
            <a:ext uri="{FF2B5EF4-FFF2-40B4-BE49-F238E27FC236}">
              <a16:creationId xmlns="" xmlns:a16="http://schemas.microsoft.com/office/drawing/2014/main" id="{9A60D0BB-D2DB-4D29-AC4E-706AD0B20703}"/>
            </a:ext>
            <a:ext uri="{147F2762-F138-4A5C-976F-8EAC2B608ADB}">
              <a16:predDERef xmlns="" xmlns:a16="http://schemas.microsoft.com/office/drawing/2014/main" pred="{C15CA873-26E1-4AC6-B585-4EB97F3C73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19</xdr:col>
      <xdr:colOff>206375</xdr:colOff>
      <xdr:row>23</xdr:row>
      <xdr:rowOff>82550</xdr:rowOff>
    </xdr:from>
    <xdr:ext cx="65" cy="172227"/>
    <xdr:sp macro="" textlink="">
      <xdr:nvSpPr>
        <xdr:cNvPr id="3" name="TextBox 2">
          <a:extLst>
            <a:ext uri="{FF2B5EF4-FFF2-40B4-BE49-F238E27FC236}">
              <a16:creationId xmlns="" xmlns:a16="http://schemas.microsoft.com/office/drawing/2014/main" id="{6F2E01F0-7A94-06DF-7AB3-CD6A31C3FE8D}"/>
            </a:ext>
          </a:extLst>
        </xdr:cNvPr>
        <xdr:cNvSpPr txBox="1"/>
      </xdr:nvSpPr>
      <xdr:spPr>
        <a:xfrm>
          <a:off x="14131925" y="4470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19</xdr:col>
      <xdr:colOff>22225</xdr:colOff>
      <xdr:row>22</xdr:row>
      <xdr:rowOff>139700</xdr:rowOff>
    </xdr:from>
    <xdr:ext cx="2045945" cy="210058"/>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 xmlns:a16="http://schemas.microsoft.com/office/drawing/2014/main" id="{120D1765-6CE0-A43C-C2C3-6C5CED27D83A}"/>
                </a:ext>
              </a:extLst>
            </xdr:cNvPr>
            <xdr:cNvSpPr txBox="1"/>
          </xdr:nvSpPr>
          <xdr:spPr>
            <a:xfrm>
              <a:off x="13947775" y="4343400"/>
              <a:ext cx="2045945" cy="210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𝑓</m:t>
                    </m:r>
                    <m:d>
                      <m:dPr>
                        <m:ctrlPr>
                          <a:rPr lang="es-MX" sz="1100" b="0" i="1">
                            <a:latin typeface="Cambria Math" panose="02040503050406030204" pitchFamily="18" charset="0"/>
                          </a:rPr>
                        </m:ctrlPr>
                      </m:dPr>
                      <m:e>
                        <m:r>
                          <a:rPr lang="es-MX" sz="1100" b="0" i="1">
                            <a:latin typeface="Cambria Math" panose="02040503050406030204" pitchFamily="18" charset="0"/>
                          </a:rPr>
                          <m:t>𝑥</m:t>
                        </m:r>
                      </m:e>
                    </m:d>
                    <m:r>
                      <a:rPr lang="es-MX" sz="1100" b="0" i="1">
                        <a:latin typeface="Cambria Math" panose="02040503050406030204" pitchFamily="18" charset="0"/>
                      </a:rPr>
                      <m:t>=</m:t>
                    </m:r>
                    <m:rad>
                      <m:radPr>
                        <m:degHide m:val="on"/>
                        <m:ctrlPr>
                          <a:rPr lang="es-MX" sz="1100" b="0" i="1">
                            <a:latin typeface="Cambria Math" panose="02040503050406030204" pitchFamily="18" charset="0"/>
                          </a:rPr>
                        </m:ctrlPr>
                      </m:radPr>
                      <m:deg/>
                      <m:e>
                        <m:sSup>
                          <m:sSupPr>
                            <m:ctrlPr>
                              <a:rPr lang="es-MX" sz="1100" b="0" i="1">
                                <a:latin typeface="Cambria Math" panose="02040503050406030204" pitchFamily="18" charset="0"/>
                              </a:rPr>
                            </m:ctrlPr>
                          </m:sSupPr>
                          <m:e>
                            <m:r>
                              <a:rPr lang="es-MX" sz="1100" b="0" i="1">
                                <a:latin typeface="Cambria Math" panose="02040503050406030204" pitchFamily="18" charset="0"/>
                              </a:rPr>
                              <m:t>𝑅</m:t>
                            </m:r>
                          </m:e>
                          <m:sup>
                            <m:r>
                              <a:rPr lang="es-MX" sz="1100" b="0" i="1">
                                <a:latin typeface="Cambria Math" panose="02040503050406030204" pitchFamily="18" charset="0"/>
                              </a:rPr>
                              <m:t>2</m:t>
                            </m:r>
                          </m:sup>
                        </m:sSup>
                        <m:r>
                          <a:rPr lang="es-MX" sz="1100" b="0" i="1">
                            <a:latin typeface="Cambria Math" panose="02040503050406030204" pitchFamily="18" charset="0"/>
                          </a:rPr>
                          <m:t>−</m:t>
                        </m:r>
                        <m:sSup>
                          <m:sSupPr>
                            <m:ctrlPr>
                              <a:rPr lang="es-MX" sz="1100" b="0" i="1">
                                <a:latin typeface="Cambria Math" panose="02040503050406030204" pitchFamily="18" charset="0"/>
                              </a:rPr>
                            </m:ctrlPr>
                          </m:sSupPr>
                          <m:e>
                            <m:d>
                              <m:dPr>
                                <m:ctrlPr>
                                  <a:rPr lang="es-MX" sz="1100" b="0" i="1">
                                    <a:latin typeface="Cambria Math" panose="02040503050406030204" pitchFamily="18" charset="0"/>
                                  </a:rPr>
                                </m:ctrlPr>
                              </m:dPr>
                              <m:e>
                                <m:r>
                                  <a:rPr lang="es-MX" sz="1100" b="0" i="1">
                                    <a:latin typeface="Cambria Math" panose="02040503050406030204" pitchFamily="18" charset="0"/>
                                  </a:rPr>
                                  <m:t>𝐿</m:t>
                                </m:r>
                                <m:r>
                                  <a:rPr lang="es-MX" sz="1100" b="0" i="1">
                                    <a:latin typeface="Cambria Math" panose="02040503050406030204" pitchFamily="18" charset="0"/>
                                  </a:rPr>
                                  <m:t>−</m:t>
                                </m:r>
                                <m:r>
                                  <a:rPr lang="es-MX" sz="1100" b="0" i="1">
                                    <a:latin typeface="Cambria Math" panose="02040503050406030204" pitchFamily="18" charset="0"/>
                                  </a:rPr>
                                  <m:t>𝑥</m:t>
                                </m:r>
                              </m:e>
                            </m:d>
                          </m:e>
                          <m:sup>
                            <m:r>
                              <a:rPr lang="es-MX" sz="1100" b="0" i="1">
                                <a:latin typeface="Cambria Math" panose="02040503050406030204" pitchFamily="18" charset="0"/>
                              </a:rPr>
                              <m:t>2</m:t>
                            </m:r>
                          </m:sup>
                        </m:sSup>
                      </m:e>
                    </m:rad>
                    <m:r>
                      <a:rPr lang="es-MX" sz="1100" b="0" i="1">
                        <a:latin typeface="Cambria Math" panose="02040503050406030204" pitchFamily="18" charset="0"/>
                      </a:rPr>
                      <m:t>−(</m:t>
                    </m:r>
                    <m:r>
                      <a:rPr lang="es-MX" sz="1100" b="0" i="1">
                        <a:latin typeface="Cambria Math" panose="02040503050406030204" pitchFamily="18" charset="0"/>
                      </a:rPr>
                      <m:t>𝑅</m:t>
                    </m:r>
                    <m:r>
                      <a:rPr lang="es-MX" sz="1100" b="0" i="1">
                        <a:latin typeface="Cambria Math" panose="02040503050406030204" pitchFamily="18" charset="0"/>
                      </a:rPr>
                      <m:t>−</m:t>
                    </m:r>
                    <m:r>
                      <a:rPr lang="es-MX" sz="1100" b="0" i="1">
                        <a:latin typeface="Cambria Math" panose="02040503050406030204" pitchFamily="18" charset="0"/>
                      </a:rPr>
                      <m:t>𝑟</m:t>
                    </m:r>
                    <m:r>
                      <a:rPr lang="es-MX" sz="1100" b="0" i="1">
                        <a:latin typeface="Cambria Math" panose="02040503050406030204" pitchFamily="18" charset="0"/>
                      </a:rPr>
                      <m:t>)</m:t>
                    </m:r>
                  </m:oMath>
                </m:oMathPara>
              </a14:m>
              <a:endParaRPr lang="en-US" sz="1100"/>
            </a:p>
          </xdr:txBody>
        </xdr:sp>
      </mc:Choice>
      <mc:Fallback xmlns="">
        <xdr:sp macro="" textlink="">
          <xdr:nvSpPr>
            <xdr:cNvPr id="10" name="TextBox 9">
              <a:extLst>
                <a:ext uri="{FF2B5EF4-FFF2-40B4-BE49-F238E27FC236}">
                  <a16:creationId xmlns:a16="http://schemas.microsoft.com/office/drawing/2014/main" id="{120D1765-6CE0-A43C-C2C3-6C5CED27D83A}"/>
                </a:ext>
              </a:extLst>
            </xdr:cNvPr>
            <xdr:cNvSpPr txBox="1"/>
          </xdr:nvSpPr>
          <xdr:spPr>
            <a:xfrm>
              <a:off x="13947775" y="4343400"/>
              <a:ext cx="2045945" cy="210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𝑓(𝑥)=√(𝑅^2−(𝐿−𝑥)^2 )−(𝑅−𝑟)</a:t>
              </a:r>
              <a:endParaRPr lang="en-US" sz="1100"/>
            </a:p>
          </xdr:txBody>
        </xdr:sp>
      </mc:Fallback>
    </mc:AlternateContent>
    <xdr:clientData/>
  </xdr:oneCellAnchor>
  <xdr:oneCellAnchor>
    <xdr:from>
      <xdr:col>19</xdr:col>
      <xdr:colOff>269875</xdr:colOff>
      <xdr:row>24</xdr:row>
      <xdr:rowOff>101600</xdr:rowOff>
    </xdr:from>
    <xdr:ext cx="841375" cy="342338"/>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 xmlns:a16="http://schemas.microsoft.com/office/drawing/2014/main" id="{7BB379C5-A5E3-077C-7C48-41207301E333}"/>
                </a:ext>
              </a:extLst>
            </xdr:cNvPr>
            <xdr:cNvSpPr txBox="1"/>
          </xdr:nvSpPr>
          <xdr:spPr>
            <a:xfrm>
              <a:off x="14195425" y="4673600"/>
              <a:ext cx="841375" cy="3423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r>
                    <a:rPr lang="es-MX" sz="1400" b="0" i="1">
                      <a:latin typeface="Cambria Math" panose="02040503050406030204" pitchFamily="18" charset="0"/>
                    </a:rPr>
                    <m:t>𝑅</m:t>
                  </m:r>
                  <m:r>
                    <a:rPr lang="es-MX" sz="1400" b="0" i="1">
                      <a:latin typeface="Cambria Math" panose="02040503050406030204" pitchFamily="18" charset="0"/>
                    </a:rPr>
                    <m:t>=</m:t>
                  </m:r>
                  <m:f>
                    <m:fPr>
                      <m:ctrlPr>
                        <a:rPr lang="es-MX" sz="1400" b="0" i="1">
                          <a:latin typeface="Cambria Math" panose="02040503050406030204" pitchFamily="18" charset="0"/>
                        </a:rPr>
                      </m:ctrlPr>
                    </m:fPr>
                    <m:num>
                      <m:r>
                        <m:rPr>
                          <m:nor/>
                        </m:rPr>
                        <a:rPr lang="en-US" sz="1400">
                          <a:solidFill>
                            <a:schemeClr val="tx1"/>
                          </a:solidFill>
                          <a:effectLst/>
                          <a:latin typeface="+mn-lt"/>
                          <a:ea typeface="+mn-ea"/>
                          <a:cs typeface="+mn-cs"/>
                        </a:rPr>
                        <m:t>(</m:t>
                      </m:r>
                      <m:sSup>
                        <m:sSupPr>
                          <m:ctrlPr>
                            <a:rPr lang="es-MX" sz="1400" b="0" i="1">
                              <a:solidFill>
                                <a:schemeClr val="tx1"/>
                              </a:solidFill>
                              <a:effectLst/>
                              <a:latin typeface="Cambria Math" panose="02040503050406030204" pitchFamily="18" charset="0"/>
                              <a:ea typeface="+mn-ea"/>
                              <a:cs typeface="+mn-cs"/>
                            </a:rPr>
                          </m:ctrlPr>
                        </m:sSupPr>
                        <m:e>
                          <m:r>
                            <a:rPr lang="es-MX" sz="1400" b="0" i="1">
                              <a:solidFill>
                                <a:schemeClr val="tx1"/>
                              </a:solidFill>
                              <a:effectLst/>
                              <a:latin typeface="Cambria Math" panose="02040503050406030204" pitchFamily="18" charset="0"/>
                              <a:ea typeface="+mn-ea"/>
                              <a:cs typeface="+mn-cs"/>
                            </a:rPr>
                            <m:t>𝑟</m:t>
                          </m:r>
                        </m:e>
                        <m:sup>
                          <m:r>
                            <a:rPr lang="es-MX" sz="1400" b="0" i="1">
                              <a:solidFill>
                                <a:schemeClr val="tx1"/>
                              </a:solidFill>
                              <a:effectLst/>
                              <a:latin typeface="Cambria Math" panose="02040503050406030204" pitchFamily="18" charset="0"/>
                              <a:ea typeface="+mn-ea"/>
                              <a:cs typeface="+mn-cs"/>
                            </a:rPr>
                            <m:t>2</m:t>
                          </m:r>
                        </m:sup>
                      </m:sSup>
                      <m:r>
                        <a:rPr lang="es-MX" sz="1400" b="0" i="1">
                          <a:solidFill>
                            <a:schemeClr val="tx1"/>
                          </a:solidFill>
                          <a:effectLst/>
                          <a:latin typeface="Cambria Math" panose="02040503050406030204" pitchFamily="18" charset="0"/>
                          <a:ea typeface="+mn-ea"/>
                          <a:cs typeface="+mn-cs"/>
                        </a:rPr>
                        <m:t>+</m:t>
                      </m:r>
                      <m:sSup>
                        <m:sSupPr>
                          <m:ctrlPr>
                            <a:rPr lang="es-MX" sz="1400" b="0" i="1">
                              <a:solidFill>
                                <a:schemeClr val="tx1"/>
                              </a:solidFill>
                              <a:effectLst/>
                              <a:latin typeface="Cambria Math" panose="02040503050406030204" pitchFamily="18" charset="0"/>
                              <a:ea typeface="+mn-ea"/>
                              <a:cs typeface="+mn-cs"/>
                            </a:rPr>
                          </m:ctrlPr>
                        </m:sSupPr>
                        <m:e>
                          <m:r>
                            <a:rPr lang="es-MX" sz="1400" b="0" i="1">
                              <a:solidFill>
                                <a:schemeClr val="tx1"/>
                              </a:solidFill>
                              <a:effectLst/>
                              <a:latin typeface="Cambria Math" panose="02040503050406030204" pitchFamily="18" charset="0"/>
                              <a:ea typeface="+mn-ea"/>
                              <a:cs typeface="+mn-cs"/>
                            </a:rPr>
                            <m:t>𝐿</m:t>
                          </m:r>
                        </m:e>
                        <m:sup>
                          <m:r>
                            <a:rPr lang="es-MX" sz="1400" b="0" i="1">
                              <a:solidFill>
                                <a:schemeClr val="tx1"/>
                              </a:solidFill>
                              <a:effectLst/>
                              <a:latin typeface="Cambria Math" panose="02040503050406030204" pitchFamily="18" charset="0"/>
                              <a:ea typeface="+mn-ea"/>
                              <a:cs typeface="+mn-cs"/>
                            </a:rPr>
                            <m:t>2</m:t>
                          </m:r>
                        </m:sup>
                      </m:sSup>
                      <m:r>
                        <a:rPr lang="es-MX" sz="1400" b="0" i="1">
                          <a:solidFill>
                            <a:schemeClr val="tx1"/>
                          </a:solidFill>
                          <a:effectLst/>
                          <a:latin typeface="Cambria Math" panose="02040503050406030204" pitchFamily="18" charset="0"/>
                          <a:ea typeface="+mn-ea"/>
                          <a:cs typeface="+mn-cs"/>
                        </a:rPr>
                        <m:t>)</m:t>
                      </m:r>
                    </m:num>
                    <m:den>
                      <m:r>
                        <a:rPr lang="es-MX" sz="1400" b="0" i="0">
                          <a:latin typeface="Cambria Math" panose="02040503050406030204" pitchFamily="18" charset="0"/>
                        </a:rPr>
                        <m:t>2</m:t>
                      </m:r>
                      <m:r>
                        <m:rPr>
                          <m:sty m:val="p"/>
                        </m:rPr>
                        <a:rPr lang="es-MX" sz="1400" b="0" i="0">
                          <a:latin typeface="Cambria Math" panose="02040503050406030204" pitchFamily="18" charset="0"/>
                        </a:rPr>
                        <m:t>r</m:t>
                      </m:r>
                    </m:den>
                  </m:f>
                </m:oMath>
              </a14:m>
              <a:r>
                <a:rPr lang="en-US" sz="1400"/>
                <a:t> </a:t>
              </a:r>
            </a:p>
          </xdr:txBody>
        </xdr:sp>
      </mc:Choice>
      <mc:Fallback xmlns="">
        <xdr:sp macro="" textlink="">
          <xdr:nvSpPr>
            <xdr:cNvPr id="12" name="TextBox 11">
              <a:extLst>
                <a:ext uri="{FF2B5EF4-FFF2-40B4-BE49-F238E27FC236}">
                  <a16:creationId xmlns:a16="http://schemas.microsoft.com/office/drawing/2014/main" id="{7BB379C5-A5E3-077C-7C48-41207301E333}"/>
                </a:ext>
              </a:extLst>
            </xdr:cNvPr>
            <xdr:cNvSpPr txBox="1"/>
          </xdr:nvSpPr>
          <xdr:spPr>
            <a:xfrm>
              <a:off x="14195425" y="4673600"/>
              <a:ext cx="841375" cy="3423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MX" sz="1400" b="0" i="0">
                  <a:latin typeface="Cambria Math" panose="02040503050406030204" pitchFamily="18" charset="0"/>
                </a:rPr>
                <a:t>𝑅=(</a:t>
              </a:r>
              <a:r>
                <a:rPr lang="en-US" sz="1400" b="0" i="0">
                  <a:solidFill>
                    <a:schemeClr val="tx1"/>
                  </a:solidFill>
                  <a:effectLst/>
                  <a:latin typeface="+mn-lt"/>
                  <a:ea typeface="+mn-ea"/>
                  <a:cs typeface="+mn-cs"/>
                </a:rPr>
                <a:t>"</a:t>
              </a:r>
              <a:r>
                <a:rPr lang="en-US" sz="1400" i="0">
                  <a:solidFill>
                    <a:schemeClr val="tx1"/>
                  </a:solidFill>
                  <a:effectLst/>
                  <a:latin typeface="+mn-lt"/>
                  <a:ea typeface="+mn-ea"/>
                  <a:cs typeface="+mn-cs"/>
                </a:rPr>
                <a:t>(</a:t>
              </a:r>
              <a:r>
                <a:rPr lang="es-MX" sz="1400" b="0" i="0">
                  <a:solidFill>
                    <a:schemeClr val="tx1"/>
                  </a:solidFill>
                  <a:effectLst/>
                  <a:latin typeface="+mn-lt"/>
                  <a:ea typeface="+mn-ea"/>
                  <a:cs typeface="+mn-cs"/>
                </a:rPr>
                <a:t>" 𝑟^2+𝐿^2)</a:t>
              </a:r>
              <a:r>
                <a:rPr lang="es-MX" sz="1400" b="0" i="0">
                  <a:solidFill>
                    <a:schemeClr val="tx1"/>
                  </a:solidFill>
                  <a:effectLst/>
                  <a:latin typeface="Cambria Math" panose="02040503050406030204" pitchFamily="18" charset="0"/>
                  <a:ea typeface="+mn-ea"/>
                  <a:cs typeface="+mn-cs"/>
                </a:rPr>
                <a:t>)/</a:t>
              </a:r>
              <a:r>
                <a:rPr lang="es-MX" sz="1400" b="0" i="0">
                  <a:latin typeface="Cambria Math" panose="02040503050406030204" pitchFamily="18" charset="0"/>
                </a:rPr>
                <a:t>2r</a:t>
              </a:r>
              <a:r>
                <a:rPr lang="en-US" sz="1400"/>
                <a:t> </a:t>
              </a:r>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xdr:from>
      <xdr:col>0</xdr:col>
      <xdr:colOff>307341</xdr:colOff>
      <xdr:row>1</xdr:row>
      <xdr:rowOff>12065</xdr:rowOff>
    </xdr:from>
    <xdr:to>
      <xdr:col>11</xdr:col>
      <xdr:colOff>688341</xdr:colOff>
      <xdr:row>11</xdr:row>
      <xdr:rowOff>0</xdr:rowOff>
    </xdr:to>
    <xdr:graphicFrame macro="">
      <xdr:nvGraphicFramePr>
        <xdr:cNvPr id="2" name="Chart 1">
          <a:extLst>
            <a:ext uri="{FF2B5EF4-FFF2-40B4-BE49-F238E27FC236}">
              <a16:creationId xmlns="" xmlns:a16="http://schemas.microsoft.com/office/drawing/2014/main" id="{E3C537F2-31BC-477B-A2BA-3324E8A581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697866</xdr:colOff>
      <xdr:row>1</xdr:row>
      <xdr:rowOff>21590</xdr:rowOff>
    </xdr:from>
    <xdr:to>
      <xdr:col>22</xdr:col>
      <xdr:colOff>616586</xdr:colOff>
      <xdr:row>11</xdr:row>
      <xdr:rowOff>6985</xdr:rowOff>
    </xdr:to>
    <xdr:graphicFrame macro="">
      <xdr:nvGraphicFramePr>
        <xdr:cNvPr id="3" name="Chart 2">
          <a:extLst>
            <a:ext uri="{FF2B5EF4-FFF2-40B4-BE49-F238E27FC236}">
              <a16:creationId xmlns="" xmlns:a16="http://schemas.microsoft.com/office/drawing/2014/main" id="{E18AE237-AB9B-443B-9AC6-0A486D849990}"/>
            </a:ext>
            <a:ext uri="{147F2762-F138-4A5C-976F-8EAC2B608ADB}">
              <a16:predDERef xmlns="" xmlns:a16="http://schemas.microsoft.com/office/drawing/2014/main" pred="{E3C537F2-31BC-477B-A2BA-3324E8A581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0</xdr:colOff>
      <xdr:row>18</xdr:row>
      <xdr:rowOff>45720</xdr:rowOff>
    </xdr:from>
    <xdr:to>
      <xdr:col>20</xdr:col>
      <xdr:colOff>462280</xdr:colOff>
      <xdr:row>19</xdr:row>
      <xdr:rowOff>154940</xdr:rowOff>
    </xdr:to>
    <xdr:sp macro="" textlink="">
      <xdr:nvSpPr>
        <xdr:cNvPr id="5" name="Rectangle: Rounded Corners 4">
          <a:extLst>
            <a:ext uri="{FF2B5EF4-FFF2-40B4-BE49-F238E27FC236}">
              <a16:creationId xmlns="" xmlns:a16="http://schemas.microsoft.com/office/drawing/2014/main" id="{D877167B-41EB-4438-B309-3687EC1249E9}"/>
            </a:ext>
            <a:ext uri="{6ECC49D1-AA05-4338-93AA-15A1B29DFB0A}">
              <asl:scriptLink xmlns="" xmlns:asl="http://schemas.microsoft.com/office/drawing/2021/scriptlink" val="{&quot;shareId&quot;:&quot;ms-officescript%3A%2F%2Fonedrive_business_sharinglink%2Fu!aHR0cHM6Ly91YW5sZWR1LW15LnNoYXJlcG9pbnQuY29tLzp1Oi9nL3BlcnNvbmFsL2p1YW5fdmFsYWRlem9fdWFubF9lZHVfbXgvRWZvVnBMM2VtV3RPbzlUVTRvVUlHQmNCRlJyQnlnX2V0OW1LWVd3VTNFU3NaUQ&quot;}"/>
            </a:ext>
          </a:extLst>
        </xdr:cNvPr>
        <xdr:cNvSpPr/>
      </xdr:nvSpPr>
      <xdr:spPr>
        <a:xfrm>
          <a:off x="11445240" y="3368040"/>
          <a:ext cx="1231900" cy="292100"/>
        </a:xfrm>
        <a:prstGeom prst="roundRect">
          <a:avLst/>
        </a:prstGeom>
        <a:solidFill>
          <a:srgbClr val="107C41"/>
        </a:solidFill>
        <a:ln w="19050" cap="flat" cmpd="sng" algn="ctr">
          <a:solidFill>
            <a:schemeClr val="accent1">
              <a:shade val="15000"/>
            </a:schemeClr>
          </a:solidFill>
          <a:prstDash val="solid"/>
          <a:miter lim="800000"/>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a:t>InertiaTensor</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419100</xdr:colOff>
      <xdr:row>15</xdr:row>
      <xdr:rowOff>9525</xdr:rowOff>
    </xdr:from>
    <xdr:to>
      <xdr:col>17</xdr:col>
      <xdr:colOff>487061</xdr:colOff>
      <xdr:row>23</xdr:row>
      <xdr:rowOff>168500</xdr:rowOff>
    </xdr:to>
    <xdr:pic>
      <xdr:nvPicPr>
        <xdr:cNvPr id="2" name="Picture 1">
          <a:extLst>
            <a:ext uri="{FF2B5EF4-FFF2-40B4-BE49-F238E27FC236}">
              <a16:creationId xmlns="" xmlns:a16="http://schemas.microsoft.com/office/drawing/2014/main" id="{E58467C2-2019-BCCC-3B09-5F212FBC35F6}"/>
            </a:ext>
          </a:extLst>
        </xdr:cNvPr>
        <xdr:cNvPicPr>
          <a:picLocks noChangeAspect="1"/>
        </xdr:cNvPicPr>
      </xdr:nvPicPr>
      <xdr:blipFill>
        <a:blip xmlns:r="http://schemas.openxmlformats.org/officeDocument/2006/relationships" r:embed="rId1"/>
        <a:stretch>
          <a:fillRect/>
        </a:stretch>
      </xdr:blipFill>
      <xdr:spPr>
        <a:xfrm>
          <a:off x="3228975" y="3362325"/>
          <a:ext cx="9208786" cy="160677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12</xdr:col>
      <xdr:colOff>0</xdr:colOff>
      <xdr:row>2</xdr:row>
      <xdr:rowOff>57150</xdr:rowOff>
    </xdr:from>
    <xdr:to>
      <xdr:col>16</xdr:col>
      <xdr:colOff>295704</xdr:colOff>
      <xdr:row>8</xdr:row>
      <xdr:rowOff>76354</xdr:rowOff>
    </xdr:to>
    <xdr:pic>
      <xdr:nvPicPr>
        <xdr:cNvPr id="2" name="Picture 1"/>
        <xdr:cNvPicPr>
          <a:picLocks noChangeAspect="1"/>
        </xdr:cNvPicPr>
      </xdr:nvPicPr>
      <xdr:blipFill>
        <a:blip xmlns:r="http://schemas.openxmlformats.org/officeDocument/2006/relationships" r:embed="rId1"/>
        <a:stretch>
          <a:fillRect/>
        </a:stretch>
      </xdr:blipFill>
      <xdr:spPr>
        <a:xfrm>
          <a:off x="9896475" y="428625"/>
          <a:ext cx="3077004" cy="1105054"/>
        </a:xfrm>
        <a:prstGeom prst="rect">
          <a:avLst/>
        </a:prstGeom>
      </xdr:spPr>
    </xdr:pic>
    <xdr:clientData/>
  </xdr:twoCellAnchor>
  <xdr:twoCellAnchor editAs="oneCell">
    <xdr:from>
      <xdr:col>12</xdr:col>
      <xdr:colOff>0</xdr:colOff>
      <xdr:row>9</xdr:row>
      <xdr:rowOff>19050</xdr:rowOff>
    </xdr:from>
    <xdr:to>
      <xdr:col>16</xdr:col>
      <xdr:colOff>324283</xdr:colOff>
      <xdr:row>23</xdr:row>
      <xdr:rowOff>47983</xdr:rowOff>
    </xdr:to>
    <xdr:pic>
      <xdr:nvPicPr>
        <xdr:cNvPr id="3" name="Picture 2"/>
        <xdr:cNvPicPr>
          <a:picLocks noChangeAspect="1"/>
        </xdr:cNvPicPr>
      </xdr:nvPicPr>
      <xdr:blipFill>
        <a:blip xmlns:r="http://schemas.openxmlformats.org/officeDocument/2006/relationships" r:embed="rId2"/>
        <a:stretch>
          <a:fillRect/>
        </a:stretch>
      </xdr:blipFill>
      <xdr:spPr>
        <a:xfrm>
          <a:off x="9896475" y="1657350"/>
          <a:ext cx="3105583" cy="256258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5</xdr:col>
      <xdr:colOff>361950</xdr:colOff>
      <xdr:row>5</xdr:row>
      <xdr:rowOff>1587</xdr:rowOff>
    </xdr:from>
    <xdr:to>
      <xdr:col>13</xdr:col>
      <xdr:colOff>533400</xdr:colOff>
      <xdr:row>30</xdr:row>
      <xdr:rowOff>114300</xdr:rowOff>
    </xdr:to>
    <xdr:graphicFrame macro="">
      <xdr:nvGraphicFramePr>
        <xdr:cNvPr id="9" name="Chart 8">
          <a:extLst>
            <a:ext uri="{FF2B5EF4-FFF2-40B4-BE49-F238E27FC236}">
              <a16:creationId xmlns="" xmlns:a16="http://schemas.microsoft.com/office/drawing/2014/main" id="{940D527C-4366-00CE-4B25-D1D345FA8B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xdr:col>
      <xdr:colOff>322262</xdr:colOff>
      <xdr:row>3</xdr:row>
      <xdr:rowOff>169862</xdr:rowOff>
    </xdr:from>
    <xdr:ext cx="1972528" cy="173766"/>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 xmlns:a16="http://schemas.microsoft.com/office/drawing/2014/main" id="{A761C379-9697-216A-9A7E-CFB8449EE35F}"/>
                </a:ext>
              </a:extLst>
            </xdr:cNvPr>
            <xdr:cNvSpPr txBox="1"/>
          </xdr:nvSpPr>
          <xdr:spPr>
            <a:xfrm>
              <a:off x="1227137" y="903287"/>
              <a:ext cx="1972528"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𝑛</m:t>
                        </m:r>
                      </m:sub>
                    </m:sSub>
                    <m:r>
                      <m:rPr>
                        <m:lit/>
                      </m:rPr>
                      <a:rPr lang="es-MX" sz="1100" b="0" i="1">
                        <a:latin typeface="Cambria Math" panose="02040503050406030204" pitchFamily="18" charset="0"/>
                      </a:rPr>
                      <m:t>/</m:t>
                    </m:r>
                    <m:r>
                      <a:rPr lang="es-MX" sz="1100" b="0" i="1">
                        <a:latin typeface="Cambria Math" panose="02040503050406030204" pitchFamily="18" charset="0"/>
                      </a:rPr>
                      <m:t>𝑑</m:t>
                    </m:r>
                    <m:r>
                      <a:rPr lang="es-MX" sz="1100" b="0" i="1">
                        <a:latin typeface="Cambria Math" panose="02040503050406030204" pitchFamily="18" charset="0"/>
                      </a:rPr>
                      <m:t> </m:t>
                    </m:r>
                    <m:sSub>
                      <m:sSubPr>
                        <m:ctrlPr>
                          <a:rPr lang="es-MX" sz="1100" b="0" i="1">
                            <a:latin typeface="Cambria Math" panose="02040503050406030204" pitchFamily="18" charset="0"/>
                          </a:rPr>
                        </m:ctrlPr>
                      </m:sSubPr>
                      <m:e>
                        <m:r>
                          <a:rPr lang="es-MX" sz="1100" b="0" i="1">
                            <a:latin typeface="Cambria Math" panose="02040503050406030204" pitchFamily="18" charset="0"/>
                          </a:rPr>
                          <m:t>𝐶</m:t>
                        </m:r>
                      </m:e>
                      <m:sub>
                        <m:r>
                          <a:rPr lang="es-MX" sz="1100" b="0" i="1">
                            <a:latin typeface="Cambria Math" panose="02040503050406030204" pitchFamily="18" charset="0"/>
                          </a:rPr>
                          <m:t>𝑁</m:t>
                        </m:r>
                      </m:sub>
                    </m:sSub>
                    <m:r>
                      <a:rPr lang="es-MX" sz="1100" b="0" i="1">
                        <a:latin typeface="Cambria Math" panose="02040503050406030204" pitchFamily="18" charset="0"/>
                      </a:rPr>
                      <m:t> </m:t>
                    </m:r>
                    <m:r>
                      <a:rPr lang="es-MX" sz="1100" b="0" i="1">
                        <a:latin typeface="Cambria Math" panose="02040503050406030204" pitchFamily="18" charset="0"/>
                      </a:rPr>
                      <m:t>𝑛𝑜𝑠𝑒𝑐𝑜𝑛𝑒</m:t>
                    </m:r>
                    <m:r>
                      <a:rPr lang="es-MX" sz="1100" b="0" i="1">
                        <a:latin typeface="Cambria Math" panose="02040503050406030204" pitchFamily="18" charset="0"/>
                      </a:rPr>
                      <m:t> (</m:t>
                    </m:r>
                    <m:r>
                      <a:rPr lang="es-MX" sz="1100" b="0" i="1">
                        <a:latin typeface="Cambria Math" panose="02040503050406030204" pitchFamily="18" charset="0"/>
                      </a:rPr>
                      <m:t>𝑝𝑒𝑟</m:t>
                    </m:r>
                    <m:r>
                      <a:rPr lang="es-MX" sz="1100" b="0" i="1">
                        <a:latin typeface="Cambria Math" panose="02040503050406030204" pitchFamily="18" charset="0"/>
                      </a:rPr>
                      <m:t> </m:t>
                    </m:r>
                    <m:r>
                      <a:rPr lang="es-MX" sz="1100" b="0" i="1">
                        <a:latin typeface="Cambria Math" panose="02040503050406030204" pitchFamily="18" charset="0"/>
                      </a:rPr>
                      <m:t>𝑟𝑎𝑑𝑖𝑎𝑛</m:t>
                    </m:r>
                    <m:r>
                      <a:rPr lang="es-MX" sz="1100" b="0" i="1">
                        <a:latin typeface="Cambria Math" panose="02040503050406030204" pitchFamily="18" charset="0"/>
                      </a:rPr>
                      <m:t>)</m:t>
                    </m:r>
                  </m:oMath>
                </m:oMathPara>
              </a14:m>
              <a:endParaRPr lang="en-US" sz="1100"/>
            </a:p>
          </xdr:txBody>
        </xdr:sp>
      </mc:Choice>
      <mc:Fallback xmlns="">
        <xdr:sp macro="" textlink="">
          <xdr:nvSpPr>
            <xdr:cNvPr id="10" name="TextBox 9">
              <a:extLst>
                <a:ext uri="{FF2B5EF4-FFF2-40B4-BE49-F238E27FC236}">
                  <a16:creationId xmlns:a16="http://schemas.microsoft.com/office/drawing/2014/main" id="{A761C379-9697-216A-9A7E-CFB8449EE35F}"/>
                </a:ext>
              </a:extLst>
            </xdr:cNvPr>
            <xdr:cNvSpPr txBox="1"/>
          </xdr:nvSpPr>
          <xdr:spPr>
            <a:xfrm>
              <a:off x="1227137" y="903287"/>
              <a:ext cx="1972528"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𝐿_𝑛 \/𝑑 𝐶_𝑁  𝑛𝑜𝑠𝑒𝑐𝑜𝑛𝑒 (𝑝𝑒𝑟 𝑟𝑎𝑑𝑖𝑎𝑛)</a:t>
              </a:r>
              <a:endParaRPr lang="en-US" sz="1100"/>
            </a:p>
          </xdr:txBody>
        </xdr:sp>
      </mc:Fallback>
    </mc:AlternateContent>
    <xdr:clientData/>
  </xdr:oneCellAnchor>
  <xdr:twoCellAnchor>
    <xdr:from>
      <xdr:col>7</xdr:col>
      <xdr:colOff>322262</xdr:colOff>
      <xdr:row>32</xdr:row>
      <xdr:rowOff>20637</xdr:rowOff>
    </xdr:from>
    <xdr:to>
      <xdr:col>14</xdr:col>
      <xdr:colOff>600075</xdr:colOff>
      <xdr:row>47</xdr:row>
      <xdr:rowOff>152400</xdr:rowOff>
    </xdr:to>
    <xdr:graphicFrame macro="">
      <xdr:nvGraphicFramePr>
        <xdr:cNvPr id="11" name="Chart 10">
          <a:extLst>
            <a:ext uri="{FF2B5EF4-FFF2-40B4-BE49-F238E27FC236}">
              <a16:creationId xmlns="" xmlns:a16="http://schemas.microsoft.com/office/drawing/2014/main" id="{9C9DD64C-8DAF-E3DC-52EF-344D71B514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0</xdr:col>
      <xdr:colOff>160337</xdr:colOff>
      <xdr:row>50</xdr:row>
      <xdr:rowOff>96837</xdr:rowOff>
    </xdr:from>
    <xdr:ext cx="2387385" cy="240387"/>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 xmlns:a16="http://schemas.microsoft.com/office/drawing/2014/main" id="{C30842E1-FA76-C7DF-5357-28BDD94979CA}"/>
                </a:ext>
              </a:extLst>
            </xdr:cNvPr>
            <xdr:cNvSpPr txBox="1"/>
          </xdr:nvSpPr>
          <xdr:spPr>
            <a:xfrm>
              <a:off x="160337" y="9526587"/>
              <a:ext cx="2387385" cy="240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𝐶</m:t>
                      </m:r>
                    </m:e>
                    <m:sub>
                      <m:r>
                        <a:rPr lang="es-MX" sz="1100" b="0" i="1">
                          <a:latin typeface="Cambria Math" panose="02040503050406030204" pitchFamily="18" charset="0"/>
                        </a:rPr>
                        <m:t>𝑁</m:t>
                      </m:r>
                    </m:sub>
                  </m:sSub>
                  <m:r>
                    <a:rPr lang="es-MX" sz="1100" b="0" i="1">
                      <a:latin typeface="Cambria Math" panose="02040503050406030204" pitchFamily="18" charset="0"/>
                    </a:rPr>
                    <m:t>=</m:t>
                  </m:r>
                  <m:sSub>
                    <m:sSubPr>
                      <m:ctrlPr>
                        <a:rPr lang="es-MX" sz="1100" b="0" i="1">
                          <a:latin typeface="Cambria Math" panose="02040503050406030204" pitchFamily="18" charset="0"/>
                        </a:rPr>
                      </m:ctrlPr>
                    </m:sSubPr>
                    <m:e>
                      <m:r>
                        <a:rPr lang="es-MX" sz="1100" b="0" i="1">
                          <a:latin typeface="Cambria Math" panose="02040503050406030204" pitchFamily="18" charset="0"/>
                        </a:rPr>
                        <m:t>𝐶</m:t>
                      </m:r>
                    </m:e>
                    <m:sub>
                      <m:r>
                        <a:rPr lang="es-MX" sz="1100" b="0" i="1">
                          <a:latin typeface="Cambria Math" panose="02040503050406030204" pitchFamily="18" charset="0"/>
                        </a:rPr>
                        <m:t>𝑁</m:t>
                      </m:r>
                      <m:r>
                        <a:rPr lang="es-MX" sz="1100" b="0" i="1">
                          <a:latin typeface="Cambria Math" panose="02040503050406030204" pitchFamily="18" charset="0"/>
                        </a:rPr>
                        <m:t>𝛼</m:t>
                      </m:r>
                      <m:r>
                        <a:rPr lang="es-MX" sz="1100" b="0" i="1">
                          <a:latin typeface="Cambria Math" panose="02040503050406030204" pitchFamily="18" charset="0"/>
                        </a:rPr>
                        <m:t>0</m:t>
                      </m:r>
                    </m:sub>
                  </m:sSub>
                  <m:func>
                    <m:funcPr>
                      <m:ctrlPr>
                        <a:rPr lang="es-MX" sz="1100" b="0" i="1">
                          <a:latin typeface="Cambria Math" panose="02040503050406030204" pitchFamily="18" charset="0"/>
                        </a:rPr>
                      </m:ctrlPr>
                    </m:funcPr>
                    <m:fName>
                      <m:r>
                        <m:rPr>
                          <m:sty m:val="p"/>
                        </m:rPr>
                        <a:rPr lang="es-MX" sz="1100" b="0" i="0">
                          <a:latin typeface="Cambria Math" panose="02040503050406030204" pitchFamily="18" charset="0"/>
                        </a:rPr>
                        <m:t>sin</m:t>
                      </m:r>
                    </m:fName>
                    <m:e>
                      <m:d>
                        <m:dPr>
                          <m:ctrlPr>
                            <a:rPr lang="es-MX" sz="1100" b="0" i="1">
                              <a:latin typeface="Cambria Math" panose="02040503050406030204" pitchFamily="18" charset="0"/>
                            </a:rPr>
                          </m:ctrlPr>
                        </m:dPr>
                        <m:e>
                          <m:r>
                            <a:rPr lang="es-MX" sz="1100" b="0" i="1">
                              <a:latin typeface="Cambria Math" panose="02040503050406030204" pitchFamily="18" charset="0"/>
                            </a:rPr>
                            <m:t>𝛼</m:t>
                          </m:r>
                        </m:e>
                      </m:d>
                    </m:e>
                  </m:func>
                  <m:func>
                    <m:funcPr>
                      <m:ctrlPr>
                        <a:rPr lang="es-MX" sz="1100" b="0" i="1">
                          <a:latin typeface="Cambria Math" panose="02040503050406030204" pitchFamily="18" charset="0"/>
                        </a:rPr>
                      </m:ctrlPr>
                    </m:funcPr>
                    <m:fName>
                      <m:r>
                        <m:rPr>
                          <m:sty m:val="p"/>
                        </m:rPr>
                        <a:rPr lang="es-MX" sz="1100" b="0" i="0">
                          <a:latin typeface="Cambria Math" panose="02040503050406030204" pitchFamily="18" charset="0"/>
                        </a:rPr>
                        <m:t>cos</m:t>
                      </m:r>
                    </m:fName>
                    <m:e>
                      <m:d>
                        <m:dPr>
                          <m:ctrlPr>
                            <a:rPr lang="es-MX" sz="1100" b="0" i="1">
                              <a:latin typeface="Cambria Math" panose="02040503050406030204" pitchFamily="18" charset="0"/>
                            </a:rPr>
                          </m:ctrlPr>
                        </m:dPr>
                        <m:e>
                          <m:r>
                            <a:rPr lang="es-MX" sz="1100" b="0" i="1">
                              <a:latin typeface="Cambria Math" panose="02040503050406030204" pitchFamily="18" charset="0"/>
                            </a:rPr>
                            <m:t>𝛼</m:t>
                          </m:r>
                        </m:e>
                      </m:d>
                    </m:e>
                  </m:func>
                  <m:r>
                    <a:rPr lang="es-MX" sz="1100" b="0" i="1">
                      <a:latin typeface="Cambria Math" panose="02040503050406030204" pitchFamily="18" charset="0"/>
                    </a:rPr>
                    <m:t>+</m:t>
                  </m:r>
                  <m:f>
                    <m:fPr>
                      <m:ctrlPr>
                        <a:rPr lang="es-MX" sz="1100" b="0" i="1">
                          <a:latin typeface="Cambria Math" panose="02040503050406030204" pitchFamily="18" charset="0"/>
                        </a:rPr>
                      </m:ctrlPr>
                    </m:fPr>
                    <m:num>
                      <m:r>
                        <a:rPr lang="es-MX" sz="1100" b="0" i="1">
                          <a:latin typeface="Cambria Math" panose="02040503050406030204" pitchFamily="18" charset="0"/>
                        </a:rPr>
                        <m:t>4</m:t>
                      </m:r>
                    </m:num>
                    <m:den>
                      <m:r>
                        <a:rPr lang="es-MX" sz="1100" b="0" i="1">
                          <a:latin typeface="Cambria Math" panose="02040503050406030204" pitchFamily="18" charset="0"/>
                        </a:rPr>
                        <m:t>𝜋</m:t>
                      </m:r>
                      <m:r>
                        <a:rPr lang="es-MX" sz="1100" b="0" i="1">
                          <a:latin typeface="Cambria Math" panose="02040503050406030204" pitchFamily="18" charset="0"/>
                        </a:rPr>
                        <m:t> </m:t>
                      </m:r>
                    </m:den>
                  </m:f>
                  <m:f>
                    <m:fPr>
                      <m:ctrlPr>
                        <a:rPr lang="es-MX" sz="1100" b="0" i="1">
                          <a:latin typeface="Cambria Math" panose="02040503050406030204" pitchFamily="18" charset="0"/>
                        </a:rPr>
                      </m:ctrlPr>
                    </m:fPr>
                    <m:num>
                      <m:r>
                        <a:rPr lang="es-MX" sz="1100" b="0" i="1">
                          <a:latin typeface="Cambria Math" panose="02040503050406030204" pitchFamily="18" charset="0"/>
                        </a:rPr>
                        <m:t>𝐿</m:t>
                      </m:r>
                    </m:num>
                    <m:den>
                      <m:r>
                        <a:rPr lang="es-MX" sz="1100" b="0" i="1">
                          <a:latin typeface="Cambria Math" panose="02040503050406030204" pitchFamily="18" charset="0"/>
                        </a:rPr>
                        <m:t>𝑑</m:t>
                      </m:r>
                    </m:den>
                  </m:f>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C</m:t>
                      </m:r>
                    </m:e>
                    <m:sub>
                      <m:r>
                        <m:rPr>
                          <m:sty m:val="p"/>
                        </m:rPr>
                        <a:rPr lang="es-MX" sz="1100" b="0" i="0">
                          <a:latin typeface="Cambria Math" panose="02040503050406030204" pitchFamily="18" charset="0"/>
                        </a:rPr>
                        <m:t>NC</m:t>
                      </m:r>
                    </m:sub>
                  </m:sSub>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C</m:t>
                      </m:r>
                    </m:e>
                    <m:sub>
                      <m:r>
                        <m:rPr>
                          <m:sty m:val="p"/>
                        </m:rPr>
                        <a:rPr lang="es-MX" sz="1100" b="0" i="0">
                          <a:latin typeface="Cambria Math" panose="02040503050406030204" pitchFamily="18" charset="0"/>
                        </a:rPr>
                        <m:t>PL</m:t>
                      </m:r>
                    </m:sub>
                  </m:sSub>
                </m:oMath>
              </a14:m>
              <a:r>
                <a:rPr lang="en-US" sz="1100"/>
                <a:t> </a:t>
              </a:r>
            </a:p>
          </xdr:txBody>
        </xdr:sp>
      </mc:Choice>
      <mc:Fallback xmlns="">
        <xdr:sp macro="" textlink="">
          <xdr:nvSpPr>
            <xdr:cNvPr id="12" name="TextBox 11">
              <a:extLst>
                <a:ext uri="{FF2B5EF4-FFF2-40B4-BE49-F238E27FC236}">
                  <a16:creationId xmlns:a16="http://schemas.microsoft.com/office/drawing/2014/main" id="{C30842E1-FA76-C7DF-5357-28BDD94979CA}"/>
                </a:ext>
              </a:extLst>
            </xdr:cNvPr>
            <xdr:cNvSpPr txBox="1"/>
          </xdr:nvSpPr>
          <xdr:spPr>
            <a:xfrm>
              <a:off x="160337" y="9526587"/>
              <a:ext cx="2387385" cy="240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𝐶_𝑁=𝐶_𝑁𝛼0  sin⁡(𝛼)  cos⁡(𝛼)+4/(𝜋 )  𝐿/𝑑 C_NC C_PL</a:t>
              </a:r>
              <a:r>
                <a:rPr lang="en-US" sz="1100"/>
                <a:t> </a:t>
              </a:r>
            </a:p>
          </xdr:txBody>
        </xdr:sp>
      </mc:Fallback>
    </mc:AlternateContent>
    <xdr:clientData/>
  </xdr:oneCellAnchor>
  <xdr:oneCellAnchor>
    <xdr:from>
      <xdr:col>0</xdr:col>
      <xdr:colOff>227012</xdr:colOff>
      <xdr:row>54</xdr:row>
      <xdr:rowOff>20637</xdr:rowOff>
    </xdr:from>
    <xdr:ext cx="1603772" cy="317395"/>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 xmlns:a16="http://schemas.microsoft.com/office/drawing/2014/main" id="{238526A6-FCD4-8548-FF55-6B3C91F39C4B}"/>
                </a:ext>
              </a:extLst>
            </xdr:cNvPr>
            <xdr:cNvSpPr txBox="1"/>
          </xdr:nvSpPr>
          <xdr:spPr>
            <a:xfrm>
              <a:off x="227012" y="10174287"/>
              <a:ext cx="1603772" cy="317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𝐶</m:t>
                        </m:r>
                      </m:e>
                      <m:sub>
                        <m:r>
                          <a:rPr lang="es-MX" sz="1100" b="0" i="1">
                            <a:latin typeface="Cambria Math" panose="02040503050406030204" pitchFamily="18" charset="0"/>
                          </a:rPr>
                          <m:t>𝑁𝑐𝑟𝑜𝑠𝑠𝑓𝑙𝑜𝑤</m:t>
                        </m:r>
                      </m:sub>
                    </m:sSub>
                    <m:r>
                      <a:rPr lang="es-MX" sz="1100" b="0" i="1">
                        <a:latin typeface="Cambria Math" panose="02040503050406030204" pitchFamily="18" charset="0"/>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4</m:t>
                        </m:r>
                      </m:num>
                      <m:den>
                        <m:r>
                          <a:rPr lang="es-MX" sz="1100" b="0" i="1">
                            <a:solidFill>
                              <a:schemeClr val="tx1"/>
                            </a:solidFill>
                            <a:effectLst/>
                            <a:latin typeface="Cambria Math" panose="02040503050406030204" pitchFamily="18" charset="0"/>
                            <a:ea typeface="+mn-ea"/>
                            <a:cs typeface="+mn-cs"/>
                          </a:rPr>
                          <m:t>𝜋</m:t>
                        </m:r>
                        <m:r>
                          <a:rPr lang="es-MX" sz="1100" b="0" i="1">
                            <a:solidFill>
                              <a:schemeClr val="tx1"/>
                            </a:solidFill>
                            <a:effectLst/>
                            <a:latin typeface="Cambria Math" panose="02040503050406030204" pitchFamily="18" charset="0"/>
                            <a:ea typeface="+mn-ea"/>
                            <a:cs typeface="+mn-cs"/>
                          </a:rPr>
                          <m:t> </m:t>
                        </m:r>
                      </m:den>
                    </m:f>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𝐿</m:t>
                        </m:r>
                      </m:num>
                      <m:den>
                        <m:r>
                          <a:rPr lang="es-MX" sz="1100" b="0" i="1">
                            <a:solidFill>
                              <a:schemeClr val="tx1"/>
                            </a:solidFill>
                            <a:effectLst/>
                            <a:latin typeface="Cambria Math" panose="02040503050406030204" pitchFamily="18" charset="0"/>
                            <a:ea typeface="+mn-ea"/>
                            <a:cs typeface="+mn-cs"/>
                          </a:rPr>
                          <m:t>𝑑</m:t>
                        </m:r>
                      </m:den>
                    </m:f>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C</m:t>
                        </m:r>
                      </m:e>
                      <m:sub>
                        <m:r>
                          <m:rPr>
                            <m:sty m:val="p"/>
                          </m:rPr>
                          <a:rPr lang="es-MX" sz="1100" b="0" i="0">
                            <a:solidFill>
                              <a:schemeClr val="tx1"/>
                            </a:solidFill>
                            <a:effectLst/>
                            <a:latin typeface="Cambria Math" panose="02040503050406030204" pitchFamily="18" charset="0"/>
                            <a:ea typeface="+mn-ea"/>
                            <a:cs typeface="+mn-cs"/>
                          </a:rPr>
                          <m:t>NC</m:t>
                        </m:r>
                      </m:sub>
                    </m:sSub>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C</m:t>
                        </m:r>
                      </m:e>
                      <m:sub>
                        <m:r>
                          <m:rPr>
                            <m:sty m:val="p"/>
                          </m:rPr>
                          <a:rPr lang="es-MX" sz="1100" b="0" i="0">
                            <a:solidFill>
                              <a:schemeClr val="tx1"/>
                            </a:solidFill>
                            <a:effectLst/>
                            <a:latin typeface="Cambria Math" panose="02040503050406030204" pitchFamily="18" charset="0"/>
                            <a:ea typeface="+mn-ea"/>
                            <a:cs typeface="+mn-cs"/>
                          </a:rPr>
                          <m:t>PL</m:t>
                        </m:r>
                      </m:sub>
                    </m:sSub>
                    <m:r>
                      <a:rPr lang="es-MX" sz="1100" b="0" i="1">
                        <a:latin typeface="Cambria Math" panose="02040503050406030204" pitchFamily="18" charset="0"/>
                      </a:rPr>
                      <m:t> </m:t>
                    </m:r>
                  </m:oMath>
                </m:oMathPara>
              </a14:m>
              <a:endParaRPr lang="en-US" sz="1100"/>
            </a:p>
          </xdr:txBody>
        </xdr:sp>
      </mc:Choice>
      <mc:Fallback xmlns="">
        <xdr:sp macro="" textlink="">
          <xdr:nvSpPr>
            <xdr:cNvPr id="13" name="TextBox 12">
              <a:extLst>
                <a:ext uri="{FF2B5EF4-FFF2-40B4-BE49-F238E27FC236}">
                  <a16:creationId xmlns:a16="http://schemas.microsoft.com/office/drawing/2014/main" id="{238526A6-FCD4-8548-FF55-6B3C91F39C4B}"/>
                </a:ext>
              </a:extLst>
            </xdr:cNvPr>
            <xdr:cNvSpPr txBox="1"/>
          </xdr:nvSpPr>
          <xdr:spPr>
            <a:xfrm>
              <a:off x="227012" y="10174287"/>
              <a:ext cx="1603772" cy="317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𝐶_𝑁𝑐𝑟𝑜𝑠𝑠𝑓𝑙𝑜𝑤=</a:t>
              </a:r>
              <a:r>
                <a:rPr lang="es-MX" sz="1100" b="0" i="0">
                  <a:solidFill>
                    <a:schemeClr val="tx1"/>
                  </a:solidFill>
                  <a:effectLst/>
                  <a:latin typeface="+mn-lt"/>
                  <a:ea typeface="+mn-ea"/>
                  <a:cs typeface="+mn-cs"/>
                </a:rPr>
                <a:t>4/(𝜋 )  𝐿/𝑑 C_NC C_PL</a:t>
              </a:r>
              <a:r>
                <a:rPr lang="es-MX" sz="1100" b="0" i="0">
                  <a:solidFill>
                    <a:schemeClr val="tx1"/>
                  </a:solidFill>
                  <a:effectLst/>
                  <a:latin typeface="Cambria Math" panose="02040503050406030204" pitchFamily="18" charset="0"/>
                  <a:ea typeface="+mn-ea"/>
                  <a:cs typeface="+mn-cs"/>
                </a:rPr>
                <a:t> </a:t>
              </a:r>
              <a:r>
                <a:rPr lang="es-MX" sz="1100" b="0" i="0">
                  <a:latin typeface="Cambria Math" panose="02040503050406030204" pitchFamily="18" charset="0"/>
                </a:rPr>
                <a:t> </a:t>
              </a:r>
              <a:endParaRPr lang="en-US" sz="1100"/>
            </a:p>
          </xdr:txBody>
        </xdr:sp>
      </mc:Fallback>
    </mc:AlternateContent>
    <xdr:clientData/>
  </xdr:oneCellAnchor>
  <xdr:oneCellAnchor>
    <xdr:from>
      <xdr:col>0</xdr:col>
      <xdr:colOff>196850</xdr:colOff>
      <xdr:row>52</xdr:row>
      <xdr:rowOff>63500</xdr:rowOff>
    </xdr:from>
    <xdr:ext cx="1981183" cy="182807"/>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 xmlns:a16="http://schemas.microsoft.com/office/drawing/2014/main" id="{1D924C9F-B1DD-4B9D-BFCF-B5695F959620}"/>
                </a:ext>
              </a:extLst>
            </xdr:cNvPr>
            <xdr:cNvSpPr txBox="1"/>
          </xdr:nvSpPr>
          <xdr:spPr>
            <a:xfrm>
              <a:off x="196850" y="9855200"/>
              <a:ext cx="1981183" cy="1828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𝐶</m:t>
                        </m:r>
                      </m:e>
                      <m:sub>
                        <m:r>
                          <a:rPr lang="es-MX" sz="1100" b="0" i="1">
                            <a:latin typeface="Cambria Math" panose="02040503050406030204" pitchFamily="18" charset="0"/>
                          </a:rPr>
                          <m:t>𝑁𝑓𝑜𝑟𝑒𝑏𝑜𝑑𝑦</m:t>
                        </m:r>
                      </m:sub>
                    </m:sSub>
                    <m:r>
                      <a:rPr lang="es-MX" sz="1100" b="0" i="1">
                        <a:latin typeface="Cambria Math" panose="02040503050406030204" pitchFamily="18" charset="0"/>
                      </a:rPr>
                      <m:t>=</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𝐶</m:t>
                        </m:r>
                      </m:e>
                      <m:sub>
                        <m:r>
                          <a:rPr lang="es-MX" sz="1100" b="0" i="1">
                            <a:solidFill>
                              <a:schemeClr val="tx1"/>
                            </a:solidFill>
                            <a:effectLst/>
                            <a:latin typeface="Cambria Math" panose="02040503050406030204" pitchFamily="18" charset="0"/>
                            <a:ea typeface="+mn-ea"/>
                            <a:cs typeface="+mn-cs"/>
                          </a:rPr>
                          <m:t>𝑁</m:t>
                        </m:r>
                        <m:r>
                          <a:rPr lang="es-MX" sz="1100" b="0" i="1">
                            <a:solidFill>
                              <a:schemeClr val="tx1"/>
                            </a:solidFill>
                            <a:effectLst/>
                            <a:latin typeface="Cambria Math" panose="02040503050406030204" pitchFamily="18" charset="0"/>
                            <a:ea typeface="+mn-ea"/>
                            <a:cs typeface="+mn-cs"/>
                          </a:rPr>
                          <m:t>𝛼</m:t>
                        </m:r>
                        <m:r>
                          <a:rPr lang="es-MX" sz="1100" b="0" i="1">
                            <a:solidFill>
                              <a:schemeClr val="tx1"/>
                            </a:solidFill>
                            <a:effectLst/>
                            <a:latin typeface="Cambria Math" panose="02040503050406030204" pitchFamily="18" charset="0"/>
                            <a:ea typeface="+mn-ea"/>
                            <a:cs typeface="+mn-cs"/>
                          </a:rPr>
                          <m:t>0</m:t>
                        </m:r>
                      </m:sub>
                    </m:sSub>
                    <m:func>
                      <m:funcPr>
                        <m:ctrlPr>
                          <a:rPr lang="es-MX" sz="1100" b="0" i="1">
                            <a:solidFill>
                              <a:schemeClr val="tx1"/>
                            </a:solidFill>
                            <a:effectLst/>
                            <a:latin typeface="Cambria Math" panose="02040503050406030204" pitchFamily="18" charset="0"/>
                            <a:ea typeface="+mn-ea"/>
                            <a:cs typeface="+mn-cs"/>
                          </a:rPr>
                        </m:ctrlPr>
                      </m:funcPr>
                      <m:fName>
                        <m:r>
                          <m:rPr>
                            <m:sty m:val="p"/>
                          </m:rPr>
                          <a:rPr lang="es-MX" sz="1100" b="0" i="0">
                            <a:solidFill>
                              <a:schemeClr val="tx1"/>
                            </a:solidFill>
                            <a:effectLst/>
                            <a:latin typeface="Cambria Math" panose="02040503050406030204" pitchFamily="18" charset="0"/>
                            <a:ea typeface="+mn-ea"/>
                            <a:cs typeface="+mn-cs"/>
                          </a:rPr>
                          <m:t>sin</m:t>
                        </m:r>
                      </m:fName>
                      <m:e>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𝛼</m:t>
                            </m:r>
                          </m:e>
                        </m:d>
                      </m:e>
                    </m:func>
                    <m:func>
                      <m:funcPr>
                        <m:ctrlPr>
                          <a:rPr lang="es-MX" sz="1100" b="0" i="1">
                            <a:solidFill>
                              <a:schemeClr val="tx1"/>
                            </a:solidFill>
                            <a:effectLst/>
                            <a:latin typeface="Cambria Math" panose="02040503050406030204" pitchFamily="18" charset="0"/>
                            <a:ea typeface="+mn-ea"/>
                            <a:cs typeface="+mn-cs"/>
                          </a:rPr>
                        </m:ctrlPr>
                      </m:funcPr>
                      <m:fName>
                        <m:r>
                          <m:rPr>
                            <m:sty m:val="p"/>
                          </m:rPr>
                          <a:rPr lang="es-MX" sz="1100" b="0" i="0">
                            <a:solidFill>
                              <a:schemeClr val="tx1"/>
                            </a:solidFill>
                            <a:effectLst/>
                            <a:latin typeface="Cambria Math" panose="02040503050406030204" pitchFamily="18" charset="0"/>
                            <a:ea typeface="+mn-ea"/>
                            <a:cs typeface="+mn-cs"/>
                          </a:rPr>
                          <m:t>cos</m:t>
                        </m:r>
                      </m:fName>
                      <m:e>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𝛼</m:t>
                            </m:r>
                          </m:e>
                        </m:d>
                      </m:e>
                    </m:func>
                  </m:oMath>
                </m:oMathPara>
              </a14:m>
              <a:endParaRPr lang="en-US" sz="1100"/>
            </a:p>
          </xdr:txBody>
        </xdr:sp>
      </mc:Choice>
      <mc:Fallback xmlns="">
        <xdr:sp macro="" textlink="">
          <xdr:nvSpPr>
            <xdr:cNvPr id="14" name="TextBox 13">
              <a:extLst>
                <a:ext uri="{FF2B5EF4-FFF2-40B4-BE49-F238E27FC236}">
                  <a16:creationId xmlns:a16="http://schemas.microsoft.com/office/drawing/2014/main" id="{1D924C9F-B1DD-4B9D-BFCF-B5695F959620}"/>
                </a:ext>
              </a:extLst>
            </xdr:cNvPr>
            <xdr:cNvSpPr txBox="1"/>
          </xdr:nvSpPr>
          <xdr:spPr>
            <a:xfrm>
              <a:off x="196850" y="9855200"/>
              <a:ext cx="1981183" cy="1828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𝐶_𝑁𝑓𝑜𝑟𝑒𝑏𝑜𝑑𝑦=</a:t>
              </a:r>
              <a:r>
                <a:rPr lang="es-MX" sz="1100" b="0" i="0">
                  <a:solidFill>
                    <a:schemeClr val="tx1"/>
                  </a:solidFill>
                  <a:effectLst/>
                  <a:latin typeface="+mn-lt"/>
                  <a:ea typeface="+mn-ea"/>
                  <a:cs typeface="+mn-cs"/>
                </a:rPr>
                <a:t>𝐶_𝑁𝛼0  sin⁡(𝛼)  cos⁡(𝛼)</a:t>
              </a:r>
              <a:endParaRPr lang="en-US" sz="1100"/>
            </a:p>
          </xdr:txBody>
        </xdr:sp>
      </mc:Fallback>
    </mc:AlternateContent>
    <xdr:clientData/>
  </xdr:oneCellAnchor>
  <xdr:twoCellAnchor>
    <xdr:from>
      <xdr:col>4</xdr:col>
      <xdr:colOff>19048</xdr:colOff>
      <xdr:row>52</xdr:row>
      <xdr:rowOff>7936</xdr:rowOff>
    </xdr:from>
    <xdr:to>
      <xdr:col>10</xdr:col>
      <xdr:colOff>571499</xdr:colOff>
      <xdr:row>66</xdr:row>
      <xdr:rowOff>165099</xdr:rowOff>
    </xdr:to>
    <xdr:graphicFrame macro="">
      <xdr:nvGraphicFramePr>
        <xdr:cNvPr id="15" name="Chart 14">
          <a:extLst>
            <a:ext uri="{FF2B5EF4-FFF2-40B4-BE49-F238E27FC236}">
              <a16:creationId xmlns="" xmlns:a16="http://schemas.microsoft.com/office/drawing/2014/main" id="{00593C10-B837-4C24-7607-B834AEF684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9525</xdr:colOff>
      <xdr:row>68</xdr:row>
      <xdr:rowOff>11112</xdr:rowOff>
    </xdr:from>
    <xdr:to>
      <xdr:col>10</xdr:col>
      <xdr:colOff>590550</xdr:colOff>
      <xdr:row>82</xdr:row>
      <xdr:rowOff>171450</xdr:rowOff>
    </xdr:to>
    <xdr:graphicFrame macro="">
      <xdr:nvGraphicFramePr>
        <xdr:cNvPr id="16" name="Chart 15">
          <a:extLst>
            <a:ext uri="{FF2B5EF4-FFF2-40B4-BE49-F238E27FC236}">
              <a16:creationId xmlns="" xmlns:a16="http://schemas.microsoft.com/office/drawing/2014/main" id="{064315BC-E7A3-C5F1-199F-03D3DC0B7A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0</xdr:col>
      <xdr:colOff>112712</xdr:colOff>
      <xdr:row>85</xdr:row>
      <xdr:rowOff>106362</xdr:rowOff>
    </xdr:from>
    <xdr:ext cx="1719252" cy="315792"/>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 xmlns:a16="http://schemas.microsoft.com/office/drawing/2014/main" id="{8CDE8A02-B0ED-012D-019B-E87D218D6924}"/>
                </a:ext>
              </a:extLst>
            </xdr:cNvPr>
            <xdr:cNvSpPr txBox="1"/>
          </xdr:nvSpPr>
          <xdr:spPr>
            <a:xfrm>
              <a:off x="112712" y="15870237"/>
              <a:ext cx="1719252"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𝐶</m:t>
                        </m:r>
                      </m:e>
                      <m:sub>
                        <m:r>
                          <a:rPr lang="es-MX" sz="1100" b="0" i="1">
                            <a:latin typeface="Cambria Math" panose="02040503050406030204" pitchFamily="18" charset="0"/>
                          </a:rPr>
                          <m:t>𝑃𝐿</m:t>
                        </m:r>
                      </m:sub>
                    </m:sSub>
                    <m:r>
                      <a:rPr lang="es-MX" sz="1100" b="0" i="1">
                        <a:latin typeface="Cambria Math" panose="02040503050406030204" pitchFamily="18" charset="0"/>
                      </a:rPr>
                      <m:t>=</m:t>
                    </m:r>
                    <m:sSub>
                      <m:sSubPr>
                        <m:ctrlPr>
                          <a:rPr lang="es-MX" sz="1100" b="0" i="1">
                            <a:latin typeface="Cambria Math" panose="02040503050406030204" pitchFamily="18" charset="0"/>
                          </a:rPr>
                        </m:ctrlPr>
                      </m:sSubPr>
                      <m:e>
                        <m:r>
                          <a:rPr lang="es-MX" sz="1100" b="0" i="1">
                            <a:latin typeface="Cambria Math" panose="02040503050406030204" pitchFamily="18" charset="0"/>
                          </a:rPr>
                          <m:t>𝐶</m:t>
                        </m:r>
                      </m:e>
                      <m:sub>
                        <m:r>
                          <a:rPr lang="es-MX" sz="1100" b="0" i="1">
                            <a:latin typeface="Cambria Math" panose="02040503050406030204" pitchFamily="18" charset="0"/>
                          </a:rPr>
                          <m:t>𝑃𝑓</m:t>
                        </m:r>
                      </m:sub>
                    </m:sSub>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𝑁</m:t>
                            </m:r>
                          </m:sub>
                        </m:sSub>
                      </m:num>
                      <m:den>
                        <m:r>
                          <a:rPr lang="es-MX" sz="1100" b="0" i="1">
                            <a:latin typeface="Cambria Math" panose="02040503050406030204" pitchFamily="18" charset="0"/>
                          </a:rPr>
                          <m:t>𝐿</m:t>
                        </m:r>
                      </m:den>
                    </m:f>
                    <m:r>
                      <a:rPr lang="es-MX" sz="1100" b="0" i="1">
                        <a:latin typeface="Cambria Math" panose="02040503050406030204" pitchFamily="18" charset="0"/>
                      </a:rPr>
                      <m:t>+</m:t>
                    </m:r>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𝑚</m:t>
                            </m:r>
                          </m:sub>
                        </m:sSub>
                      </m:num>
                      <m:den>
                        <m:r>
                          <a:rPr lang="es-MX" sz="1100" b="0" i="1">
                            <a:latin typeface="Cambria Math" panose="02040503050406030204" pitchFamily="18" charset="0"/>
                          </a:rPr>
                          <m:t>𝐿</m:t>
                        </m:r>
                      </m:den>
                    </m:f>
                    <m:r>
                      <a:rPr lang="es-MX" sz="1100" b="0" i="1">
                        <a:latin typeface="Cambria Math" panose="02040503050406030204" pitchFamily="18" charset="0"/>
                      </a:rPr>
                      <m:t>+</m:t>
                    </m:r>
                    <m:sSub>
                      <m:sSubPr>
                        <m:ctrlPr>
                          <a:rPr lang="es-MX" sz="1100" b="0" i="1">
                            <a:latin typeface="Cambria Math" panose="02040503050406030204" pitchFamily="18" charset="0"/>
                          </a:rPr>
                        </m:ctrlPr>
                      </m:sSubPr>
                      <m:e>
                        <m:r>
                          <a:rPr lang="es-MX" sz="1100" b="0" i="1">
                            <a:latin typeface="Cambria Math" panose="02040503050406030204" pitchFamily="18" charset="0"/>
                          </a:rPr>
                          <m:t>𝐶</m:t>
                        </m:r>
                      </m:e>
                      <m:sub>
                        <m:r>
                          <a:rPr lang="es-MX" sz="1100" b="0" i="1">
                            <a:latin typeface="Cambria Math" panose="02040503050406030204" pitchFamily="18" charset="0"/>
                          </a:rPr>
                          <m:t>𝑝𝑎</m:t>
                        </m:r>
                      </m:sub>
                    </m:sSub>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𝑇</m:t>
                            </m:r>
                          </m:sub>
                        </m:sSub>
                      </m:num>
                      <m:den>
                        <m:r>
                          <a:rPr lang="es-MX" sz="1100" b="0" i="1">
                            <a:latin typeface="Cambria Math" panose="02040503050406030204" pitchFamily="18" charset="0"/>
                          </a:rPr>
                          <m:t>𝐿</m:t>
                        </m:r>
                      </m:den>
                    </m:f>
                  </m:oMath>
                </m:oMathPara>
              </a14:m>
              <a:endParaRPr lang="en-US" sz="1100"/>
            </a:p>
          </xdr:txBody>
        </xdr:sp>
      </mc:Choice>
      <mc:Fallback xmlns="">
        <xdr:sp macro="" textlink="">
          <xdr:nvSpPr>
            <xdr:cNvPr id="17" name="TextBox 16">
              <a:extLst>
                <a:ext uri="{FF2B5EF4-FFF2-40B4-BE49-F238E27FC236}">
                  <a16:creationId xmlns:a16="http://schemas.microsoft.com/office/drawing/2014/main" id="{8CDE8A02-B0ED-012D-019B-E87D218D6924}"/>
                </a:ext>
              </a:extLst>
            </xdr:cNvPr>
            <xdr:cNvSpPr txBox="1"/>
          </xdr:nvSpPr>
          <xdr:spPr>
            <a:xfrm>
              <a:off x="112712" y="15870237"/>
              <a:ext cx="1719252"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𝐶_𝑃𝐿=𝐶_𝑃𝑓  𝐿_𝑁/𝐿+𝐿_𝑚/𝐿+𝐶_𝑝𝑎  𝐿_𝑇/𝐿</a:t>
              </a:r>
              <a:endParaRPr lang="en-US" sz="1100"/>
            </a:p>
          </xdr:txBody>
        </xdr:sp>
      </mc:Fallback>
    </mc:AlternateContent>
    <xdr:clientData/>
  </xdr:oneCellAnchor>
  <xdr:oneCellAnchor>
    <xdr:from>
      <xdr:col>0</xdr:col>
      <xdr:colOff>93662</xdr:colOff>
      <xdr:row>92</xdr:row>
      <xdr:rowOff>77787</xdr:rowOff>
    </xdr:from>
    <xdr:ext cx="2769733" cy="632289"/>
    <mc:AlternateContent xmlns:mc="http://schemas.openxmlformats.org/markup-compatibility/2006" xmlns:a14="http://schemas.microsoft.com/office/drawing/2010/main">
      <mc:Choice Requires="a14">
        <xdr:sp macro="" textlink="">
          <xdr:nvSpPr>
            <xdr:cNvPr id="18" name="TextBox 17">
              <a:extLst>
                <a:ext uri="{FF2B5EF4-FFF2-40B4-BE49-F238E27FC236}">
                  <a16:creationId xmlns="" xmlns:a16="http://schemas.microsoft.com/office/drawing/2014/main" id="{EE797A0D-38FE-68C2-1937-5CEA76EEAF0D}"/>
                </a:ext>
              </a:extLst>
            </xdr:cNvPr>
            <xdr:cNvSpPr txBox="1"/>
          </xdr:nvSpPr>
          <xdr:spPr>
            <a:xfrm>
              <a:off x="93662" y="17108487"/>
              <a:ext cx="2769733" cy="6322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𝐶</m:t>
                        </m:r>
                      </m:e>
                      <m:sub>
                        <m:r>
                          <a:rPr lang="es-MX" sz="1100" b="0" i="1">
                            <a:latin typeface="Cambria Math" panose="02040503050406030204" pitchFamily="18" charset="0"/>
                          </a:rPr>
                          <m:t>𝑃𝑓</m:t>
                        </m:r>
                      </m:sub>
                    </m:sSub>
                    <m:r>
                      <a:rPr lang="es-MX" sz="1100" b="0" i="1">
                        <a:latin typeface="Cambria Math" panose="02040503050406030204" pitchFamily="18" charset="0"/>
                      </a:rPr>
                      <m:t>=</m:t>
                    </m:r>
                    <m:f>
                      <m:fPr>
                        <m:ctrlPr>
                          <a:rPr lang="es-MX" sz="1100" b="0" i="1">
                            <a:latin typeface="Cambria Math" panose="02040503050406030204" pitchFamily="18" charset="0"/>
                          </a:rPr>
                        </m:ctrlPr>
                      </m:fPr>
                      <m:num>
                        <m:r>
                          <a:rPr lang="es-MX" sz="1100" b="0" i="1">
                            <a:latin typeface="Cambria Math" panose="02040503050406030204" pitchFamily="18" charset="0"/>
                          </a:rPr>
                          <m:t>1</m:t>
                        </m:r>
                      </m:num>
                      <m:den>
                        <m:r>
                          <a:rPr lang="es-MX" sz="1100" b="0" i="1">
                            <a:latin typeface="Cambria Math" panose="02040503050406030204" pitchFamily="18" charset="0"/>
                          </a:rPr>
                          <m:t>2</m:t>
                        </m:r>
                      </m:den>
                    </m:f>
                    <m:d>
                      <m:dPr>
                        <m:ctrlPr>
                          <a:rPr lang="es-MX" sz="1100" b="0" i="1">
                            <a:latin typeface="Cambria Math" panose="02040503050406030204" pitchFamily="18" charset="0"/>
                          </a:rPr>
                        </m:ctrlPr>
                      </m:dPr>
                      <m:e>
                        <m:d>
                          <m:dPr>
                            <m:ctrlPr>
                              <a:rPr lang="es-MX" sz="1100" b="0" i="1">
                                <a:latin typeface="Cambria Math" panose="02040503050406030204" pitchFamily="18" charset="0"/>
                              </a:rPr>
                            </m:ctrlPr>
                          </m:dPr>
                          <m:e>
                            <m:f>
                              <m:fPr>
                                <m:ctrlPr>
                                  <a:rPr lang="es-MX" sz="1100" b="0" i="1">
                                    <a:latin typeface="Cambria Math" panose="02040503050406030204" pitchFamily="18" charset="0"/>
                                  </a:rPr>
                                </m:ctrlPr>
                              </m:fPr>
                              <m:num>
                                <m:sSup>
                                  <m:sSupPr>
                                    <m:ctrlPr>
                                      <a:rPr lang="es-MX" sz="1100" b="0" i="1">
                                        <a:latin typeface="Cambria Math" panose="02040503050406030204" pitchFamily="18" charset="0"/>
                                      </a:rPr>
                                    </m:ctrlPr>
                                  </m:sSupPr>
                                  <m:e>
                                    <m:d>
                                      <m:dPr>
                                        <m:ctrlPr>
                                          <a:rPr lang="es-MX" sz="1100" b="0" i="1">
                                            <a:latin typeface="Cambria Math" panose="02040503050406030204" pitchFamily="18" charset="0"/>
                                          </a:rPr>
                                        </m:ctrlPr>
                                      </m:dPr>
                                      <m:e>
                                        <m:r>
                                          <a:rPr lang="es-MX" sz="1100" b="0" i="1">
                                            <a:latin typeface="Cambria Math" panose="02040503050406030204" pitchFamily="18" charset="0"/>
                                          </a:rPr>
                                          <m:t>𝐹</m:t>
                                        </m:r>
                                        <m:r>
                                          <a:rPr lang="es-MX" sz="1100" b="0" i="1">
                                            <a:latin typeface="Cambria Math" panose="02040503050406030204" pitchFamily="18" charset="0"/>
                                          </a:rPr>
                                          <m:t>+</m:t>
                                        </m:r>
                                        <m:r>
                                          <a:rPr lang="es-MX" sz="1100" b="0" i="1">
                                            <a:latin typeface="Cambria Math" panose="02040503050406030204" pitchFamily="18" charset="0"/>
                                          </a:rPr>
                                          <m:t>1</m:t>
                                        </m:r>
                                      </m:e>
                                    </m:d>
                                  </m:e>
                                  <m:sup>
                                    <m:r>
                                      <a:rPr lang="es-MX" sz="1100" b="0" i="1">
                                        <a:latin typeface="Cambria Math" panose="02040503050406030204" pitchFamily="18" charset="0"/>
                                      </a:rPr>
                                      <m:t>2</m:t>
                                    </m:r>
                                  </m:sup>
                                </m:sSup>
                              </m:num>
                              <m:den>
                                <m:rad>
                                  <m:radPr>
                                    <m:degHide m:val="on"/>
                                    <m:ctrlPr>
                                      <a:rPr lang="es-MX" sz="1100" b="0" i="1">
                                        <a:latin typeface="Cambria Math" panose="02040503050406030204" pitchFamily="18" charset="0"/>
                                      </a:rPr>
                                    </m:ctrlPr>
                                  </m:radPr>
                                  <m:deg/>
                                  <m:e>
                                    <m:r>
                                      <a:rPr lang="es-MX" sz="1100" b="0" i="1">
                                        <a:latin typeface="Cambria Math" panose="02040503050406030204" pitchFamily="18" charset="0"/>
                                      </a:rPr>
                                      <m:t>2</m:t>
                                    </m:r>
                                    <m:r>
                                      <a:rPr lang="es-MX" sz="1100" b="0" i="1">
                                        <a:latin typeface="Cambria Math" panose="02040503050406030204" pitchFamily="18" charset="0"/>
                                      </a:rPr>
                                      <m:t>𝐹</m:t>
                                    </m:r>
                                    <m:r>
                                      <a:rPr lang="es-MX" sz="1100" b="0" i="1">
                                        <a:latin typeface="Cambria Math" panose="02040503050406030204" pitchFamily="18" charset="0"/>
                                      </a:rPr>
                                      <m:t>+</m:t>
                                    </m:r>
                                    <m:r>
                                      <a:rPr lang="es-MX" sz="1100" b="0" i="1">
                                        <a:latin typeface="Cambria Math" panose="02040503050406030204" pitchFamily="18" charset="0"/>
                                      </a:rPr>
                                      <m:t>1</m:t>
                                    </m:r>
                                  </m:e>
                                </m:rad>
                              </m:den>
                            </m:f>
                            <m:r>
                              <a:rPr lang="es-MX" sz="1100" b="0" i="1">
                                <a:latin typeface="Cambria Math" panose="02040503050406030204" pitchFamily="18" charset="0"/>
                              </a:rPr>
                              <m:t>𝑠𝑖</m:t>
                            </m:r>
                            <m:sSup>
                              <m:sSupPr>
                                <m:ctrlPr>
                                  <a:rPr lang="es-MX" sz="1100" b="0" i="1">
                                    <a:latin typeface="Cambria Math" panose="02040503050406030204" pitchFamily="18" charset="0"/>
                                  </a:rPr>
                                </m:ctrlPr>
                              </m:sSupPr>
                              <m:e>
                                <m:r>
                                  <a:rPr lang="es-MX" sz="1100" b="0" i="1">
                                    <a:latin typeface="Cambria Math" panose="02040503050406030204" pitchFamily="18" charset="0"/>
                                  </a:rPr>
                                  <m:t>𝑛</m:t>
                                </m:r>
                              </m:e>
                              <m:sup>
                                <m:r>
                                  <a:rPr lang="es-MX" sz="1100" b="0" i="1">
                                    <a:latin typeface="Cambria Math" panose="02040503050406030204" pitchFamily="18" charset="0"/>
                                  </a:rPr>
                                  <m:t>−</m:t>
                                </m:r>
                                <m:r>
                                  <a:rPr lang="es-MX" sz="1100" b="0" i="1">
                                    <a:latin typeface="Cambria Math" panose="02040503050406030204" pitchFamily="18" charset="0"/>
                                  </a:rPr>
                                  <m:t>1</m:t>
                                </m:r>
                              </m:sup>
                            </m:sSup>
                            <m:d>
                              <m:dPr>
                                <m:ctrlPr>
                                  <a:rPr lang="es-MX" sz="1100" b="0" i="1">
                                    <a:latin typeface="Cambria Math" panose="02040503050406030204" pitchFamily="18" charset="0"/>
                                  </a:rPr>
                                </m:ctrlPr>
                              </m:dPr>
                              <m:e>
                                <m:f>
                                  <m:fPr>
                                    <m:ctrlPr>
                                      <a:rPr lang="es-MX" sz="1100" b="0" i="1">
                                        <a:latin typeface="Cambria Math" panose="02040503050406030204" pitchFamily="18" charset="0"/>
                                      </a:rPr>
                                    </m:ctrlPr>
                                  </m:fPr>
                                  <m:num>
                                    <m:rad>
                                      <m:radPr>
                                        <m:degHide m:val="on"/>
                                        <m:ctrlPr>
                                          <a:rPr lang="es-MX" sz="1100" b="0" i="1">
                                            <a:latin typeface="Cambria Math" panose="02040503050406030204" pitchFamily="18" charset="0"/>
                                          </a:rPr>
                                        </m:ctrlPr>
                                      </m:radPr>
                                      <m:deg/>
                                      <m:e>
                                        <m:r>
                                          <a:rPr lang="es-MX" sz="1100" b="0" i="1">
                                            <a:latin typeface="Cambria Math" panose="02040503050406030204" pitchFamily="18" charset="0"/>
                                          </a:rPr>
                                          <m:t>2</m:t>
                                        </m:r>
                                        <m:r>
                                          <a:rPr lang="es-MX" sz="1100" b="0" i="1">
                                            <a:latin typeface="Cambria Math" panose="02040503050406030204" pitchFamily="18" charset="0"/>
                                          </a:rPr>
                                          <m:t>𝐹</m:t>
                                        </m:r>
                                        <m:r>
                                          <a:rPr lang="es-MX" sz="1100" b="0" i="1">
                                            <a:latin typeface="Cambria Math" panose="02040503050406030204" pitchFamily="18" charset="0"/>
                                          </a:rPr>
                                          <m:t>+</m:t>
                                        </m:r>
                                        <m:r>
                                          <a:rPr lang="es-MX" sz="1100" b="0" i="1">
                                            <a:latin typeface="Cambria Math" panose="02040503050406030204" pitchFamily="18" charset="0"/>
                                          </a:rPr>
                                          <m:t>1</m:t>
                                        </m:r>
                                      </m:e>
                                    </m:rad>
                                  </m:num>
                                  <m:den>
                                    <m:r>
                                      <a:rPr lang="es-MX" sz="1100" b="0" i="1">
                                        <a:latin typeface="Cambria Math" panose="02040503050406030204" pitchFamily="18" charset="0"/>
                                      </a:rPr>
                                      <m:t>𝐹</m:t>
                                    </m:r>
                                    <m:r>
                                      <a:rPr lang="es-MX" sz="1100" b="0" i="1">
                                        <a:latin typeface="Cambria Math" panose="02040503050406030204" pitchFamily="18" charset="0"/>
                                      </a:rPr>
                                      <m:t>+</m:t>
                                    </m:r>
                                    <m:r>
                                      <a:rPr lang="es-MX" sz="1100" b="0" i="1">
                                        <a:latin typeface="Cambria Math" panose="02040503050406030204" pitchFamily="18" charset="0"/>
                                      </a:rPr>
                                      <m:t>1</m:t>
                                    </m:r>
                                  </m:den>
                                </m:f>
                              </m:e>
                            </m:d>
                          </m:e>
                        </m:d>
                        <m:r>
                          <a:rPr lang="es-MX" sz="1100" b="0" i="1">
                            <a:latin typeface="Cambria Math" panose="02040503050406030204" pitchFamily="18" charset="0"/>
                          </a:rPr>
                          <m:t>−</m:t>
                        </m:r>
                        <m:r>
                          <a:rPr lang="es-MX" sz="1100" b="0" i="1">
                            <a:latin typeface="Cambria Math" panose="02040503050406030204" pitchFamily="18" charset="0"/>
                          </a:rPr>
                          <m:t>𝐹</m:t>
                        </m:r>
                      </m:e>
                    </m:d>
                  </m:oMath>
                </m:oMathPara>
              </a14:m>
              <a:endParaRPr lang="en-US" sz="1100"/>
            </a:p>
          </xdr:txBody>
        </xdr:sp>
      </mc:Choice>
      <mc:Fallback xmlns="">
        <xdr:sp macro="" textlink="">
          <xdr:nvSpPr>
            <xdr:cNvPr id="18" name="TextBox 17">
              <a:extLst>
                <a:ext uri="{FF2B5EF4-FFF2-40B4-BE49-F238E27FC236}">
                  <a16:creationId xmlns:a16="http://schemas.microsoft.com/office/drawing/2014/main" id="{EE797A0D-38FE-68C2-1937-5CEA76EEAF0D}"/>
                </a:ext>
              </a:extLst>
            </xdr:cNvPr>
            <xdr:cNvSpPr txBox="1"/>
          </xdr:nvSpPr>
          <xdr:spPr>
            <a:xfrm>
              <a:off x="93662" y="17108487"/>
              <a:ext cx="2769733" cy="6322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𝐶_𝑃𝑓=1/2 (((𝐹+1)^2/√(2𝐹+1) 𝑠𝑖𝑛^(−1) (√(2𝐹+1)/(𝐹+1)))−𝐹)</a:t>
              </a:r>
              <a:endParaRPr lang="en-US" sz="1100"/>
            </a:p>
          </xdr:txBody>
        </xdr:sp>
      </mc:Fallback>
    </mc:AlternateContent>
    <xdr:clientData/>
  </xdr:oneCellAnchor>
  <xdr:oneCellAnchor>
    <xdr:from>
      <xdr:col>0</xdr:col>
      <xdr:colOff>179387</xdr:colOff>
      <xdr:row>95</xdr:row>
      <xdr:rowOff>153987</xdr:rowOff>
    </xdr:from>
    <xdr:ext cx="1311641" cy="442429"/>
    <mc:AlternateContent xmlns:mc="http://schemas.openxmlformats.org/markup-compatibility/2006" xmlns:a14="http://schemas.microsoft.com/office/drawing/2010/main">
      <mc:Choice Requires="a14">
        <xdr:sp macro="" textlink="">
          <xdr:nvSpPr>
            <xdr:cNvPr id="19" name="TextBox 18">
              <a:extLst>
                <a:ext uri="{FF2B5EF4-FFF2-40B4-BE49-F238E27FC236}">
                  <a16:creationId xmlns="" xmlns:a16="http://schemas.microsoft.com/office/drawing/2014/main" id="{6623A625-4973-241C-C2D8-E55AF8EEB25E}"/>
                </a:ext>
              </a:extLst>
            </xdr:cNvPr>
            <xdr:cNvSpPr txBox="1"/>
          </xdr:nvSpPr>
          <xdr:spPr>
            <a:xfrm>
              <a:off x="179387" y="17727612"/>
              <a:ext cx="1311641" cy="4424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𝐹</m:t>
                    </m:r>
                    <m:r>
                      <a:rPr lang="es-MX" sz="1100" b="0" i="1">
                        <a:latin typeface="Cambria Math" panose="02040503050406030204" pitchFamily="18" charset="0"/>
                      </a:rPr>
                      <m:t>=</m:t>
                    </m:r>
                    <m:f>
                      <m:fPr>
                        <m:ctrlPr>
                          <a:rPr lang="es-MX" sz="1100" b="0" i="1">
                            <a:latin typeface="Cambria Math" panose="02040503050406030204" pitchFamily="18" charset="0"/>
                          </a:rPr>
                        </m:ctrlPr>
                      </m:fPr>
                      <m:num>
                        <m:r>
                          <a:rPr lang="es-MX" sz="1100" b="0" i="1">
                            <a:latin typeface="Cambria Math" panose="02040503050406030204" pitchFamily="18" charset="0"/>
                          </a:rPr>
                          <m:t>1</m:t>
                        </m:r>
                      </m:num>
                      <m:den>
                        <m:r>
                          <a:rPr lang="es-MX" sz="1100" b="0" i="1">
                            <a:latin typeface="Cambria Math" panose="02040503050406030204" pitchFamily="18" charset="0"/>
                          </a:rPr>
                          <m:t>2</m:t>
                        </m:r>
                      </m:den>
                    </m:f>
                    <m:d>
                      <m:dPr>
                        <m:ctrlPr>
                          <a:rPr lang="es-MX" sz="1100" b="0" i="1">
                            <a:latin typeface="Cambria Math" panose="02040503050406030204" pitchFamily="18" charset="0"/>
                          </a:rPr>
                        </m:ctrlPr>
                      </m:dPr>
                      <m:e>
                        <m:r>
                          <a:rPr lang="es-MX" sz="1100" b="0" i="1">
                            <a:latin typeface="Cambria Math" panose="02040503050406030204" pitchFamily="18" charset="0"/>
                          </a:rPr>
                          <m:t>4</m:t>
                        </m:r>
                        <m:sSup>
                          <m:sSupPr>
                            <m:ctrlPr>
                              <a:rPr lang="es-MX" sz="1100" b="0" i="1">
                                <a:latin typeface="Cambria Math" panose="02040503050406030204" pitchFamily="18" charset="0"/>
                              </a:rPr>
                            </m:ctrlPr>
                          </m:sSupPr>
                          <m:e>
                            <m:d>
                              <m:dPr>
                                <m:ctrlPr>
                                  <a:rPr lang="es-MX" sz="1100" b="0" i="1">
                                    <a:latin typeface="Cambria Math" panose="02040503050406030204" pitchFamily="18" charset="0"/>
                                  </a:rPr>
                                </m:ctrlPr>
                              </m:dPr>
                              <m:e>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𝑁</m:t>
                                        </m:r>
                                      </m:sub>
                                    </m:sSub>
                                  </m:num>
                                  <m:den>
                                    <m:r>
                                      <a:rPr lang="es-MX" sz="1100" b="0" i="1">
                                        <a:latin typeface="Cambria Math" panose="02040503050406030204" pitchFamily="18" charset="0"/>
                                      </a:rPr>
                                      <m:t>𝑑</m:t>
                                    </m:r>
                                  </m:den>
                                </m:f>
                              </m:e>
                            </m:d>
                          </m:e>
                          <m:sup>
                            <m:r>
                              <a:rPr lang="es-MX" sz="1100" b="0" i="1">
                                <a:latin typeface="Cambria Math" panose="02040503050406030204" pitchFamily="18" charset="0"/>
                              </a:rPr>
                              <m:t>2</m:t>
                            </m:r>
                          </m:sup>
                        </m:sSup>
                        <m:r>
                          <a:rPr lang="es-MX" sz="1100" b="0" i="1">
                            <a:latin typeface="Cambria Math" panose="02040503050406030204" pitchFamily="18" charset="0"/>
                          </a:rPr>
                          <m:t>−</m:t>
                        </m:r>
                        <m:r>
                          <a:rPr lang="es-MX" sz="1100" b="0" i="1">
                            <a:latin typeface="Cambria Math" panose="02040503050406030204" pitchFamily="18" charset="0"/>
                          </a:rPr>
                          <m:t>1</m:t>
                        </m:r>
                      </m:e>
                    </m:d>
                  </m:oMath>
                </m:oMathPara>
              </a14:m>
              <a:endParaRPr lang="en-US" sz="1100"/>
            </a:p>
          </xdr:txBody>
        </xdr:sp>
      </mc:Choice>
      <mc:Fallback xmlns="">
        <xdr:sp macro="" textlink="">
          <xdr:nvSpPr>
            <xdr:cNvPr id="19" name="TextBox 18">
              <a:extLst>
                <a:ext uri="{FF2B5EF4-FFF2-40B4-BE49-F238E27FC236}">
                  <a16:creationId xmlns:a16="http://schemas.microsoft.com/office/drawing/2014/main" id="{6623A625-4973-241C-C2D8-E55AF8EEB25E}"/>
                </a:ext>
              </a:extLst>
            </xdr:cNvPr>
            <xdr:cNvSpPr txBox="1"/>
          </xdr:nvSpPr>
          <xdr:spPr>
            <a:xfrm>
              <a:off x="179387" y="17727612"/>
              <a:ext cx="1311641" cy="4424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𝐹=1/2 (4(𝐿_𝑁/𝑑)^2−1)</a:t>
              </a:r>
              <a:endParaRPr lang="en-US" sz="1100"/>
            </a:p>
          </xdr:txBody>
        </xdr:sp>
      </mc:Fallback>
    </mc:AlternateContent>
    <xdr:clientData/>
  </xdr:oneCellAnchor>
</xdr:wsDr>
</file>

<file path=xl/drawings/drawing7.xml><?xml version="1.0" encoding="utf-8"?>
<xdr:wsDr xmlns:xdr="http://schemas.openxmlformats.org/drawingml/2006/spreadsheetDrawing" xmlns:a="http://schemas.openxmlformats.org/drawingml/2006/main">
  <xdr:twoCellAnchor>
    <xdr:from>
      <xdr:col>1</xdr:col>
      <xdr:colOff>28576</xdr:colOff>
      <xdr:row>71</xdr:row>
      <xdr:rowOff>28575</xdr:rowOff>
    </xdr:from>
    <xdr:to>
      <xdr:col>5</xdr:col>
      <xdr:colOff>552451</xdr:colOff>
      <xdr:row>80</xdr:row>
      <xdr:rowOff>129988</xdr:rowOff>
    </xdr:to>
    <xdr:graphicFrame macro="">
      <xdr:nvGraphicFramePr>
        <xdr:cNvPr id="2" name="Chart 1">
          <a:extLst>
            <a:ext uri="{FF2B5EF4-FFF2-40B4-BE49-F238E27FC236}">
              <a16:creationId xmlns="" xmlns:a16="http://schemas.microsoft.com/office/drawing/2014/main" id="{8C343757-179A-4FFC-8D7F-26180DFF71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0</xdr:colOff>
      <xdr:row>67</xdr:row>
      <xdr:rowOff>61529</xdr:rowOff>
    </xdr:from>
    <xdr:to>
      <xdr:col>12</xdr:col>
      <xdr:colOff>898341</xdr:colOff>
      <xdr:row>93</xdr:row>
      <xdr:rowOff>117683</xdr:rowOff>
    </xdr:to>
    <xdr:pic>
      <xdr:nvPicPr>
        <xdr:cNvPr id="5" name="Picture 4">
          <a:extLst>
            <a:ext uri="{FF2B5EF4-FFF2-40B4-BE49-F238E27FC236}">
              <a16:creationId xmlns="" xmlns:a16="http://schemas.microsoft.com/office/drawing/2014/main" id="{C1B5A6EF-F62B-09D0-702F-21FB4366E783}"/>
            </a:ext>
          </a:extLst>
        </xdr:cNvPr>
        <xdr:cNvPicPr>
          <a:picLocks noChangeAspect="1"/>
        </xdr:cNvPicPr>
      </xdr:nvPicPr>
      <xdr:blipFill>
        <a:blip xmlns:r="http://schemas.openxmlformats.org/officeDocument/2006/relationships" r:embed="rId2"/>
        <a:stretch>
          <a:fillRect/>
        </a:stretch>
      </xdr:blipFill>
      <xdr:spPr>
        <a:xfrm>
          <a:off x="4659443" y="13627627"/>
          <a:ext cx="5875173" cy="4927957"/>
        </a:xfrm>
        <a:prstGeom prst="rect">
          <a:avLst/>
        </a:prstGeom>
      </xdr:spPr>
    </xdr:pic>
    <xdr:clientData/>
  </xdr:twoCellAnchor>
  <xdr:twoCellAnchor>
    <xdr:from>
      <xdr:col>11</xdr:col>
      <xdr:colOff>93690</xdr:colOff>
      <xdr:row>1</xdr:row>
      <xdr:rowOff>64956</xdr:rowOff>
    </xdr:from>
    <xdr:to>
      <xdr:col>21</xdr:col>
      <xdr:colOff>274821</xdr:colOff>
      <xdr:row>37</xdr:row>
      <xdr:rowOff>162395</xdr:rowOff>
    </xdr:to>
    <xdr:graphicFrame macro="">
      <xdr:nvGraphicFramePr>
        <xdr:cNvPr id="6" name="Chart 5">
          <a:extLst>
            <a:ext uri="{FF2B5EF4-FFF2-40B4-BE49-F238E27FC236}">
              <a16:creationId xmlns="" xmlns:a16="http://schemas.microsoft.com/office/drawing/2014/main" id="{4F426E6A-640A-0D37-FCC2-62FBA9CA9E0F}"/>
            </a:ext>
            <a:ext uri="{147F2762-F138-4A5C-976F-8EAC2B608ADB}">
              <a16:predDERef xmlns="" xmlns:a16="http://schemas.microsoft.com/office/drawing/2014/main" pred="{C1B5A6EF-F62B-09D0-702F-21FB4366E7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1328352</xdr:colOff>
      <xdr:row>67</xdr:row>
      <xdr:rowOff>133865</xdr:rowOff>
    </xdr:from>
    <xdr:to>
      <xdr:col>17</xdr:col>
      <xdr:colOff>321342</xdr:colOff>
      <xdr:row>73</xdr:row>
      <xdr:rowOff>98231</xdr:rowOff>
    </xdr:to>
    <xdr:pic>
      <xdr:nvPicPr>
        <xdr:cNvPr id="3" name="Picture 2">
          <a:extLst>
            <a:ext uri="{FF2B5EF4-FFF2-40B4-BE49-F238E27FC236}">
              <a16:creationId xmlns="" xmlns:a16="http://schemas.microsoft.com/office/drawing/2014/main" id="{68635FAE-4023-1053-4B81-A4D124667C33}"/>
            </a:ext>
          </a:extLst>
        </xdr:cNvPr>
        <xdr:cNvPicPr>
          <a:picLocks noChangeAspect="1"/>
        </xdr:cNvPicPr>
      </xdr:nvPicPr>
      <xdr:blipFill>
        <a:blip xmlns:r="http://schemas.openxmlformats.org/officeDocument/2006/relationships" r:embed="rId4"/>
        <a:stretch>
          <a:fillRect/>
        </a:stretch>
      </xdr:blipFill>
      <xdr:spPr>
        <a:xfrm>
          <a:off x="11141676" y="14385324"/>
          <a:ext cx="4163006" cy="1076475"/>
        </a:xfrm>
        <a:prstGeom prst="rect">
          <a:avLst/>
        </a:prstGeom>
      </xdr:spPr>
    </xdr:pic>
    <xdr:clientData/>
  </xdr:twoCellAnchor>
  <xdr:twoCellAnchor editAs="oneCell">
    <xdr:from>
      <xdr:col>13</xdr:col>
      <xdr:colOff>0</xdr:colOff>
      <xdr:row>75</xdr:row>
      <xdr:rowOff>0</xdr:rowOff>
    </xdr:from>
    <xdr:to>
      <xdr:col>23</xdr:col>
      <xdr:colOff>208358</xdr:colOff>
      <xdr:row>104</xdr:row>
      <xdr:rowOff>150082</xdr:rowOff>
    </xdr:to>
    <xdr:pic>
      <xdr:nvPicPr>
        <xdr:cNvPr id="4" name="Picture 3">
          <a:extLst>
            <a:ext uri="{FF2B5EF4-FFF2-40B4-BE49-F238E27FC236}">
              <a16:creationId xmlns="" xmlns:a16="http://schemas.microsoft.com/office/drawing/2014/main" id="{3FFBA90B-9268-1D87-BC5B-4DDC08B5D032}"/>
            </a:ext>
          </a:extLst>
        </xdr:cNvPr>
        <xdr:cNvPicPr>
          <a:picLocks noChangeAspect="1"/>
        </xdr:cNvPicPr>
      </xdr:nvPicPr>
      <xdr:blipFill>
        <a:blip xmlns:r="http://schemas.openxmlformats.org/officeDocument/2006/relationships" r:embed="rId5"/>
        <a:stretch>
          <a:fillRect/>
        </a:stretch>
      </xdr:blipFill>
      <xdr:spPr>
        <a:xfrm>
          <a:off x="11275541" y="15734270"/>
          <a:ext cx="9164329" cy="5525271"/>
        </a:xfrm>
        <a:prstGeom prst="rect">
          <a:avLst/>
        </a:prstGeom>
      </xdr:spPr>
    </xdr:pic>
    <xdr:clientData/>
  </xdr:twoCellAnchor>
  <xdr:twoCellAnchor editAs="oneCell">
    <xdr:from>
      <xdr:col>9</xdr:col>
      <xdr:colOff>72082</xdr:colOff>
      <xdr:row>94</xdr:row>
      <xdr:rowOff>154459</xdr:rowOff>
    </xdr:from>
    <xdr:to>
      <xdr:col>12</xdr:col>
      <xdr:colOff>476280</xdr:colOff>
      <xdr:row>139</xdr:row>
      <xdr:rowOff>93935</xdr:rowOff>
    </xdr:to>
    <xdr:pic>
      <xdr:nvPicPr>
        <xdr:cNvPr id="7" name="Picture 6">
          <a:extLst>
            <a:ext uri="{FF2B5EF4-FFF2-40B4-BE49-F238E27FC236}">
              <a16:creationId xmlns="" xmlns:a16="http://schemas.microsoft.com/office/drawing/2014/main" id="{F2D3D899-8633-6C1D-777A-DAFDB72A8C62}"/>
            </a:ext>
          </a:extLst>
        </xdr:cNvPr>
        <xdr:cNvPicPr>
          <a:picLocks noChangeAspect="1"/>
        </xdr:cNvPicPr>
      </xdr:nvPicPr>
      <xdr:blipFill>
        <a:blip xmlns:r="http://schemas.openxmlformats.org/officeDocument/2006/relationships" r:embed="rId6"/>
        <a:stretch>
          <a:fillRect/>
        </a:stretch>
      </xdr:blipFill>
      <xdr:spPr>
        <a:xfrm>
          <a:off x="4901514" y="19410405"/>
          <a:ext cx="5372850" cy="8287907"/>
        </a:xfrm>
        <a:prstGeom prst="rect">
          <a:avLst/>
        </a:prstGeom>
      </xdr:spPr>
    </xdr:pic>
    <xdr:clientData/>
  </xdr:twoCellAnchor>
  <xdr:twoCellAnchor editAs="oneCell">
    <xdr:from>
      <xdr:col>9</xdr:col>
      <xdr:colOff>0</xdr:colOff>
      <xdr:row>141</xdr:row>
      <xdr:rowOff>0</xdr:rowOff>
    </xdr:from>
    <xdr:to>
      <xdr:col>12</xdr:col>
      <xdr:colOff>112694</xdr:colOff>
      <xdr:row>165</xdr:row>
      <xdr:rowOff>55617</xdr:rowOff>
    </xdr:to>
    <xdr:pic>
      <xdr:nvPicPr>
        <xdr:cNvPr id="8" name="Picture 7">
          <a:extLst>
            <a:ext uri="{FF2B5EF4-FFF2-40B4-BE49-F238E27FC236}">
              <a16:creationId xmlns="" xmlns:a16="http://schemas.microsoft.com/office/drawing/2014/main" id="{83D83C04-1C18-9F90-817A-842D6DEE5D0E}"/>
            </a:ext>
          </a:extLst>
        </xdr:cNvPr>
        <xdr:cNvPicPr>
          <a:picLocks noChangeAspect="1"/>
        </xdr:cNvPicPr>
      </xdr:nvPicPr>
      <xdr:blipFill>
        <a:blip xmlns:r="http://schemas.openxmlformats.org/officeDocument/2006/relationships" r:embed="rId7"/>
        <a:stretch>
          <a:fillRect/>
        </a:stretch>
      </xdr:blipFill>
      <xdr:spPr>
        <a:xfrm>
          <a:off x="4829432" y="27967459"/>
          <a:ext cx="5096586" cy="451548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580358</xdr:colOff>
      <xdr:row>1</xdr:row>
      <xdr:rowOff>28574</xdr:rowOff>
    </xdr:from>
    <xdr:to>
      <xdr:col>8</xdr:col>
      <xdr:colOff>267636</xdr:colOff>
      <xdr:row>12</xdr:row>
      <xdr:rowOff>64411</xdr:rowOff>
    </xdr:to>
    <xdr:pic>
      <xdr:nvPicPr>
        <xdr:cNvPr id="2" name="Picture 1">
          <a:extLst>
            <a:ext uri="{FF2B5EF4-FFF2-40B4-BE49-F238E27FC236}">
              <a16:creationId xmlns="" xmlns:a16="http://schemas.microsoft.com/office/drawing/2014/main" id="{1C3C2806-C192-4C8E-400B-77250FF88002}"/>
            </a:ext>
          </a:extLst>
        </xdr:cNvPr>
        <xdr:cNvPicPr>
          <a:picLocks noChangeAspect="1"/>
        </xdr:cNvPicPr>
      </xdr:nvPicPr>
      <xdr:blipFill>
        <a:blip xmlns:r="http://schemas.openxmlformats.org/officeDocument/2006/relationships" r:embed="rId1"/>
        <a:stretch>
          <a:fillRect/>
        </a:stretch>
      </xdr:blipFill>
      <xdr:spPr>
        <a:xfrm>
          <a:off x="11962733" y="209549"/>
          <a:ext cx="2125678" cy="2064662"/>
        </a:xfrm>
        <a:prstGeom prst="rect">
          <a:avLst/>
        </a:prstGeom>
      </xdr:spPr>
    </xdr:pic>
    <xdr:clientData/>
  </xdr:twoCellAnchor>
  <xdr:twoCellAnchor editAs="oneCell">
    <xdr:from>
      <xdr:col>4</xdr:col>
      <xdr:colOff>104039</xdr:colOff>
      <xdr:row>13</xdr:row>
      <xdr:rowOff>6350</xdr:rowOff>
    </xdr:from>
    <xdr:to>
      <xdr:col>9</xdr:col>
      <xdr:colOff>7103</xdr:colOff>
      <xdr:row>22</xdr:row>
      <xdr:rowOff>29003</xdr:rowOff>
    </xdr:to>
    <xdr:pic>
      <xdr:nvPicPr>
        <xdr:cNvPr id="3" name="Picture 2">
          <a:extLst>
            <a:ext uri="{FF2B5EF4-FFF2-40B4-BE49-F238E27FC236}">
              <a16:creationId xmlns="" xmlns:a16="http://schemas.microsoft.com/office/drawing/2014/main" id="{1E49E023-F1F9-85DB-71B0-14903EA1E2E8}"/>
            </a:ext>
          </a:extLst>
        </xdr:cNvPr>
        <xdr:cNvPicPr>
          <a:picLocks noChangeAspect="1"/>
        </xdr:cNvPicPr>
      </xdr:nvPicPr>
      <xdr:blipFill>
        <a:blip xmlns:r="http://schemas.openxmlformats.org/officeDocument/2006/relationships" r:embed="rId2"/>
        <a:stretch>
          <a:fillRect/>
        </a:stretch>
      </xdr:blipFill>
      <xdr:spPr>
        <a:xfrm>
          <a:off x="11486414" y="2406650"/>
          <a:ext cx="2951064" cy="1680003"/>
        </a:xfrm>
        <a:prstGeom prst="rect">
          <a:avLst/>
        </a:prstGeom>
      </xdr:spPr>
    </xdr:pic>
    <xdr:clientData/>
  </xdr:twoCellAnchor>
  <xdr:twoCellAnchor editAs="oneCell">
    <xdr:from>
      <xdr:col>3</xdr:col>
      <xdr:colOff>647674</xdr:colOff>
      <xdr:row>23</xdr:row>
      <xdr:rowOff>9525</xdr:rowOff>
    </xdr:from>
    <xdr:to>
      <xdr:col>9</xdr:col>
      <xdr:colOff>140690</xdr:colOff>
      <xdr:row>46</xdr:row>
      <xdr:rowOff>142875</xdr:rowOff>
    </xdr:to>
    <xdr:pic>
      <xdr:nvPicPr>
        <xdr:cNvPr id="4" name="Picture 3">
          <a:extLst>
            <a:ext uri="{FF2B5EF4-FFF2-40B4-BE49-F238E27FC236}">
              <a16:creationId xmlns="" xmlns:a16="http://schemas.microsoft.com/office/drawing/2014/main" id="{31466A9B-9FE0-4282-E083-96028C27B7F0}"/>
            </a:ext>
          </a:extLst>
        </xdr:cNvPr>
        <xdr:cNvPicPr>
          <a:picLocks noChangeAspect="1"/>
        </xdr:cNvPicPr>
      </xdr:nvPicPr>
      <xdr:blipFill>
        <a:blip xmlns:r="http://schemas.openxmlformats.org/officeDocument/2006/relationships" r:embed="rId3"/>
        <a:stretch>
          <a:fillRect/>
        </a:stretch>
      </xdr:blipFill>
      <xdr:spPr>
        <a:xfrm>
          <a:off x="8581999" y="4248150"/>
          <a:ext cx="5989066" cy="429577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rchimedean2345" refreshedDate="45656.408385300929" createdVersion="8" refreshedVersion="8" minRefreshableVersion="3" recordCount="21">
  <cacheSource type="worksheet">
    <worksheetSource name="Table2"/>
  </cacheSource>
  <cacheFields count="21">
    <cacheField name="Node" numFmtId="0">
      <sharedItems containsSemiMixedTypes="0" containsString="0" containsNumber="1" containsInteger="1" minValue="1" maxValue="21"/>
    </cacheField>
    <cacheField name="Span position (m)" numFmtId="167">
      <sharedItems containsSemiMixedTypes="0" containsString="0" containsNumber="1" minValue="3.5714285714285713E-3" maxValue="0.14642857142857146" count="21">
        <n v="3.5714285714285713E-3"/>
        <n v="1.0714285714285714E-2"/>
        <n v="1.7857142857142856E-2"/>
        <n v="2.4999999999999998E-2"/>
        <n v="3.214285714285714E-2"/>
        <n v="3.9285714285714285E-2"/>
        <n v="4.642857142857143E-2"/>
        <n v="5.3571428571428575E-2"/>
        <n v="6.0714285714285721E-2"/>
        <n v="6.7857142857142866E-2"/>
        <n v="7.5000000000000011E-2"/>
        <n v="8.2142857142857156E-2"/>
        <n v="8.9285714285714302E-2"/>
        <n v="9.6428571428571447E-2"/>
        <n v="0.10357142857142859"/>
        <n v="0.11071428571428574"/>
        <n v="0.11785714285714288"/>
        <n v="0.12500000000000003"/>
        <n v="0.13214285714285717"/>
        <n v="0.13928571428571432"/>
        <n v="0.14642857142857146"/>
      </sharedItems>
    </cacheField>
    <cacheField name="Local max Reynolds" numFmtId="168">
      <sharedItems containsSemiMixedTypes="0" containsString="0" containsNumber="1" minValue="884781.57305021747" maxValue="2493475.3422324318"/>
    </cacheField>
    <cacheField name="Local chord (m)" numFmtId="167">
      <sharedItems containsSemiMixedTypes="0" containsString="0" containsNumber="1" minValue="0.10476190476190472" maxValue="0.29523809523809524"/>
    </cacheField>
    <cacheField name="Local taper ratio" numFmtId="167">
      <sharedItems containsSemiMixedTypes="0" containsString="0" containsNumber="1" minValue="0.91666666666666674" maxValue="0.98412698412698418"/>
    </cacheField>
    <cacheField name="Local MAC (m)" numFmtId="167">
      <sharedItems containsSemiMixedTypes="0" containsString="0" containsNumber="1" minValue="0.10046008741660911" maxValue="0.29762539682539679"/>
    </cacheField>
    <cacheField name="Local surface (m^2)" numFmtId="167">
      <sharedItems containsSemiMixedTypes="0" containsString="0" containsNumber="1" minValue="7.8231292517006769E-4" maxValue="2.0748299319727887E-3"/>
    </cacheField>
    <cacheField name="Local wetted surface (m^2)" numFmtId="167">
      <sharedItems containsSemiMixedTypes="0" containsString="0" containsNumber="1" minValue="7.4829931972789109E-4" maxValue="2.0408163265306124E-3"/>
    </cacheField>
    <cacheField name="Local u (m/s)" numFmtId="167">
      <sharedItems containsSemiMixedTypes="0" containsString="0" containsNumber="1" containsInteger="1" minValue="150" maxValue="150"/>
    </cacheField>
    <cacheField name="Local w (m/s)" numFmtId="167">
      <sharedItems containsSemiMixedTypes="0" containsString="0" containsNumber="1" containsInteger="1" minValue="4" maxValue="4"/>
    </cacheField>
    <cacheField name="AoA fins (rad)" numFmtId="167">
      <sharedItems containsSemiMixedTypes="0" containsString="0" containsNumber="1" minValue="1.527525442212927" maxValue="1.527525442212927"/>
    </cacheField>
    <cacheField name="Cl" numFmtId="167">
      <sharedItems containsSemiMixedTypes="0" containsString="0" containsNumber="1" minValue="6.1641152709500532E-2" maxValue="6.1641152709500532E-2"/>
    </cacheField>
    <cacheField name="Cf" numFmtId="167">
      <sharedItems containsSemiMixedTypes="0" containsString="0" containsNumber="1" containsInteger="1" minValue="0" maxValue="0"/>
    </cacheField>
    <cacheField name="Cd" numFmtId="167">
      <sharedItems containsSemiMixedTypes="0" containsString="0" containsNumber="1" minValue="4.836283810089264E-2" maxValue="4.836283810089264E-2"/>
    </cacheField>
    <cacheField name="Cm" numFmtId="167">
      <sharedItems containsSemiMixedTypes="0" containsString="0" containsNumber="1" minValue="-3.4024133499166213E-2" maxValue="-3.4024133499166213E-2"/>
    </cacheField>
    <cacheField name="Lift" numFmtId="167">
      <sharedItems containsSemiMixedTypes="0" containsString="0" containsNumber="1" minValue="0.58341105371828317" maxValue="1.5473075772528386"/>
    </cacheField>
    <cacheField name="Drag" numFmtId="167">
      <sharedItems containsSemiMixedTypes="0" containsString="0" containsNumber="1" minValue="0.45773664341127362" maxValue="1.2139971846994653"/>
    </cacheField>
    <cacheField name="Moment (x-z)" numFmtId="167">
      <sharedItems containsNonDate="0" containsString="0" containsBlank="1"/>
    </cacheField>
    <cacheField name="Lift (interfered" numFmtId="167">
      <sharedItems containsSemiMixedTypes="0" containsString="0" containsNumber="1" minValue="0" maxValue="1.2936505973753243"/>
    </cacheField>
    <cacheField name="Drag (interfered)" numFmtId="167">
      <sharedItems containsSemiMixedTypes="0" containsString="0" containsNumber="1" minValue="0" maxValue="1.0149812527815203"/>
    </cacheField>
    <cacheField name="Moment (interfered)" numFmtId="167">
      <sharedItems containsSemiMixedTypes="0" containsString="0" containsNumber="1" containsInteger="1" minValue="0" maxValue="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n v="1"/>
    <x v="0"/>
    <n v="2493475.3422324318"/>
    <n v="0.29523809523809524"/>
    <n v="0.98412698412698418"/>
    <n v="0.29762539682539679"/>
    <n v="1.0629251700680271E-3"/>
    <n v="1.0901360544217685E-3"/>
    <n v="150"/>
    <n v="4"/>
    <n v="1.527525442212927"/>
    <n v="6.1641152709500532E-2"/>
    <n v="0"/>
    <n v="4.836283810089264E-2"/>
    <n v="-3.4024133499166213E-2"/>
    <n v="0.79267806211723291"/>
    <n v="0.62192478724357858"/>
    <m/>
    <n v="0"/>
    <n v="0"/>
    <n v="0"/>
  </r>
  <r>
    <n v="2"/>
    <x v="1"/>
    <n v="2413040.6537733208"/>
    <n v="0.2857142857142857"/>
    <n v="0.96774193548387089"/>
    <n v="0.2811311727229231"/>
    <n v="2.0748299319727887E-3"/>
    <n v="2.0408163265306124E-3"/>
    <n v="150"/>
    <n v="4"/>
    <n v="1.527525442212927"/>
    <n v="6.1641152709500532E-2"/>
    <n v="0"/>
    <n v="4.836283810089264E-2"/>
    <n v="-3.4024133499166213E-2"/>
    <n v="1.5473075772528386"/>
    <n v="1.2139971846994653"/>
    <m/>
    <n v="0"/>
    <n v="0"/>
    <n v="0"/>
  </r>
  <r>
    <n v="3"/>
    <x v="2"/>
    <n v="2332605.9653142109"/>
    <n v="0.27619047619047621"/>
    <n v="0.96666666666666679"/>
    <n v="0.27161330822347773"/>
    <n v="2.0068027210884353E-3"/>
    <n v="1.9727891156462582E-3"/>
    <n v="150"/>
    <n v="4"/>
    <n v="1.527525442212927"/>
    <n v="6.1641152709500532E-2"/>
    <n v="0"/>
    <n v="4.836283810089264E-2"/>
    <n v="-3.4024133499166213E-2"/>
    <n v="1.4965761812773357"/>
    <n v="1.1741939983158762"/>
    <m/>
    <n v="0"/>
    <n v="0"/>
    <n v="0"/>
  </r>
  <r>
    <n v="4"/>
    <x v="3"/>
    <n v="2252171.2768550995"/>
    <n v="0.26666666666666666"/>
    <n v="0.96551724137931028"/>
    <n v="0.26209585265846608"/>
    <n v="1.9387755102040819E-3"/>
    <n v="1.9047619047619045E-3"/>
    <n v="150"/>
    <n v="4"/>
    <n v="1.527525442212927"/>
    <n v="6.1641152709500532E-2"/>
    <n v="0"/>
    <n v="4.836283810089264E-2"/>
    <n v="-3.4024133499166213E-2"/>
    <n v="1.4458447853018332"/>
    <n v="1.1343908119322876"/>
    <m/>
    <n v="0"/>
    <n v="0"/>
    <n v="0"/>
  </r>
  <r>
    <n v="5"/>
    <x v="4"/>
    <n v="2171736.5883959886"/>
    <n v="0.25714285714285712"/>
    <n v="0.96428571428571419"/>
    <n v="0.2525788497217068"/>
    <n v="1.8707482993197276E-3"/>
    <n v="1.8367346938775505E-3"/>
    <n v="150"/>
    <n v="4"/>
    <n v="1.527525442212927"/>
    <n v="6.1641152709500532E-2"/>
    <n v="0"/>
    <n v="4.836283810089264E-2"/>
    <n v="-3.4024133499166213E-2"/>
    <n v="1.3951133893263299"/>
    <n v="1.0945876255486982"/>
    <m/>
    <n v="0"/>
    <n v="0"/>
    <n v="0"/>
  </r>
  <r>
    <n v="6"/>
    <x v="5"/>
    <n v="2091301.8999368786"/>
    <n v="0.24761904761904763"/>
    <n v="0.96296296296296313"/>
    <n v="0.24306234956130132"/>
    <n v="1.802721088435374E-3"/>
    <n v="1.768707482993198E-3"/>
    <n v="150"/>
    <n v="4"/>
    <n v="1.527525442212927"/>
    <n v="6.1641152709500532E-2"/>
    <n v="0"/>
    <n v="4.836283810089264E-2"/>
    <n v="-3.4024133499166213E-2"/>
    <n v="1.3443819933508272"/>
    <n v="1.0547844391651093"/>
    <m/>
    <n v="0"/>
    <n v="0"/>
    <n v="0"/>
  </r>
  <r>
    <n v="7"/>
    <x v="6"/>
    <n v="2010867.2114777674"/>
    <n v="0.23809523809523808"/>
    <n v="0.96153846153846145"/>
    <n v="0.23354641001699822"/>
    <n v="1.7346938775510204E-3"/>
    <n v="1.7006802721088439E-3"/>
    <n v="150"/>
    <n v="4"/>
    <n v="1.527525442212927"/>
    <n v="6.1641152709500532E-2"/>
    <n v="0"/>
    <n v="4.836283810089264E-2"/>
    <n v="-3.4024133499166213E-2"/>
    <n v="1.2936505973753243"/>
    <n v="1.0149812527815203"/>
    <m/>
    <n v="1.2936505973753243"/>
    <n v="1.0149812527815203"/>
    <n v="0"/>
  </r>
  <r>
    <n v="8"/>
    <x v="7"/>
    <n v="1930432.523018657"/>
    <n v="0.22857142857142856"/>
    <n v="0.96000000000000008"/>
    <n v="0.22403109815354713"/>
    <n v="1.6666666666666666E-3"/>
    <n v="1.6326530612244903E-3"/>
    <n v="150"/>
    <n v="4"/>
    <n v="1.527525442212927"/>
    <n v="6.1641152709500532E-2"/>
    <n v="0"/>
    <n v="4.836283810089264E-2"/>
    <n v="-3.4024133499166213E-2"/>
    <n v="1.2429192013998214"/>
    <n v="0.97517806639793125"/>
    <m/>
    <n v="1.2429192013998214"/>
    <n v="0.97517806639793125"/>
    <n v="0"/>
  </r>
  <r>
    <n v="9"/>
    <x v="8"/>
    <n v="1849997.8345595466"/>
    <n v="0.21904761904761905"/>
    <n v="0.95833333333333337"/>
    <n v="0.21451649217606661"/>
    <n v="1.5986394557823127E-3"/>
    <n v="1.5646258503401367E-3"/>
    <n v="150"/>
    <n v="4"/>
    <n v="1.527525442212927"/>
    <n v="6.1641152709500532E-2"/>
    <n v="0"/>
    <n v="4.836283810089264E-2"/>
    <n v="-3.4024133499166213E-2"/>
    <n v="1.1921878054243182"/>
    <n v="0.9353748800143421"/>
    <m/>
    <n v="1.1921878054243182"/>
    <n v="0.9353748800143421"/>
    <n v="0"/>
  </r>
  <r>
    <n v="10"/>
    <x v="9"/>
    <n v="1769563.1461004352"/>
    <n v="0.2095238095238095"/>
    <n v="0.9565217391304347"/>
    <n v="0.20500268384326351"/>
    <n v="1.5306122448979591E-3"/>
    <n v="1.4965986394557826E-3"/>
    <n v="150"/>
    <n v="4"/>
    <n v="1.527525442212927"/>
    <n v="6.1641152709500532E-2"/>
    <n v="0"/>
    <n v="4.836283810089264E-2"/>
    <n v="-3.4024133499166213E-2"/>
    <n v="1.1414564094488155"/>
    <n v="0.89557169363075317"/>
    <m/>
    <n v="1.1414564094488155"/>
    <n v="0.89557169363075317"/>
    <n v="0"/>
  </r>
  <r>
    <n v="11"/>
    <x v="10"/>
    <n v="1689128.4576413247"/>
    <n v="0.19999999999999998"/>
    <n v="0.95454545454545459"/>
    <n v="0.19548978153629312"/>
    <n v="1.4625850340136053E-3"/>
    <n v="1.428571428571429E-3"/>
    <n v="150"/>
    <n v="4"/>
    <n v="1.527525442212927"/>
    <n v="6.1641152709500532E-2"/>
    <n v="0"/>
    <n v="4.836283810089264E-2"/>
    <n v="-3.4024133499166213E-2"/>
    <n v="1.0907250134733124"/>
    <n v="0.85576850724716402"/>
    <m/>
    <n v="1.0907250134733124"/>
    <n v="0.85576850724716402"/>
    <n v="0"/>
  </r>
  <r>
    <n v="12"/>
    <x v="11"/>
    <n v="1608693.769182214"/>
    <n v="0.19047619047619047"/>
    <n v="0.95238095238095244"/>
    <n v="0.1859779142009107"/>
    <n v="1.3945578231292514E-3"/>
    <n v="1.3605442176870752E-3"/>
    <n v="150"/>
    <n v="4"/>
    <n v="1.527525442212927"/>
    <n v="6.1641152709500532E-2"/>
    <n v="0"/>
    <n v="4.836283810089264E-2"/>
    <n v="-3.4024133499166213E-2"/>
    <n v="1.0399936174978095"/>
    <n v="0.81596532086357498"/>
    <m/>
    <n v="1.0399936174978095"/>
    <n v="0.81596532086357498"/>
    <n v="0"/>
  </r>
  <r>
    <n v="13"/>
    <x v="12"/>
    <n v="1528259.0807231031"/>
    <n v="0.18095238095238092"/>
    <n v="0.94999999999999984"/>
    <n v="0.17646723646723642"/>
    <n v="1.3265306122448978E-3"/>
    <n v="1.2925170068027213E-3"/>
    <n v="150"/>
    <n v="4"/>
    <n v="1.527525442212927"/>
    <n v="6.1641152709500532E-2"/>
    <n v="0"/>
    <n v="4.836283810089264E-2"/>
    <n v="-3.4024133499166213E-2"/>
    <n v="0.98926222152230658"/>
    <n v="0.77616213447998594"/>
    <m/>
    <n v="0.98926222152230658"/>
    <n v="0.77616213447998594"/>
    <n v="0"/>
  </r>
  <r>
    <n v="14"/>
    <x v="13"/>
    <n v="1447824.3922639925"/>
    <n v="0.1714285714285714"/>
    <n v="0.94736842105263164"/>
    <n v="0.16695793537898801"/>
    <n v="1.258503401360544E-3"/>
    <n v="1.2244897959183675E-3"/>
    <n v="150"/>
    <n v="4"/>
    <n v="1.527525442212927"/>
    <n v="6.1641152709500532E-2"/>
    <n v="0"/>
    <n v="4.836283810089264E-2"/>
    <n v="-3.4024133499166213E-2"/>
    <n v="0.93853082554680367"/>
    <n v="0.7363589480963969"/>
    <m/>
    <n v="0.93853082554680367"/>
    <n v="0.7363589480963969"/>
    <n v="0"/>
  </r>
  <r>
    <n v="15"/>
    <x v="14"/>
    <n v="1367389.7038048818"/>
    <n v="0.16190476190476188"/>
    <n v="0.94444444444444442"/>
    <n v="0.15745023935500121"/>
    <n v="1.1904761904761901E-3"/>
    <n v="1.1564625850340139E-3"/>
    <n v="150"/>
    <n v="4"/>
    <n v="1.527525442212927"/>
    <n v="6.1641152709500532E-2"/>
    <n v="0"/>
    <n v="4.836283810089264E-2"/>
    <n v="-3.4024133499166213E-2"/>
    <n v="0.88779942957130065"/>
    <n v="0.69655576171280786"/>
    <m/>
    <n v="0.88779942957130065"/>
    <n v="0.69655576171280786"/>
    <n v="0"/>
  </r>
  <r>
    <n v="16"/>
    <x v="15"/>
    <n v="1286955.0153457711"/>
    <n v="0.15238095238095234"/>
    <n v="0.94117647058823517"/>
    <n v="0.14794443029737142"/>
    <n v="1.1224489795918365E-3"/>
    <n v="1.0884353741496598E-3"/>
    <n v="150"/>
    <n v="4"/>
    <n v="1.527525442212927"/>
    <n v="6.1641152709500532E-2"/>
    <n v="0"/>
    <n v="4.836283810089264E-2"/>
    <n v="-3.4024133499166213E-2"/>
    <n v="0.83706803359579784"/>
    <n v="0.65675257532921893"/>
    <m/>
    <n v="0.83706803359579784"/>
    <n v="0.65675257532921893"/>
    <n v="0"/>
  </r>
  <r>
    <n v="17"/>
    <x v="16"/>
    <n v="1206520.3268866604"/>
    <n v="0.14285714285714282"/>
    <n v="0.9375"/>
    <n v="0.13844086021505372"/>
    <n v="1.0544217687074827E-3"/>
    <n v="1.0204081632653062E-3"/>
    <n v="150"/>
    <n v="4"/>
    <n v="1.527525442212927"/>
    <n v="6.1641152709500532E-2"/>
    <n v="0"/>
    <n v="4.836283810089264E-2"/>
    <n v="-3.4024133499166213E-2"/>
    <n v="0.78633663762029482"/>
    <n v="0.61694938894562978"/>
    <m/>
    <n v="0.78633663762029482"/>
    <n v="0.61694938894562978"/>
    <n v="0"/>
  </r>
  <r>
    <n v="18"/>
    <x v="17"/>
    <n v="1126085.6384275497"/>
    <n v="0.1333333333333333"/>
    <n v="0.93333333333333335"/>
    <n v="0.12893997445721581"/>
    <n v="9.8639455782312886E-4"/>
    <n v="9.5238095238095249E-4"/>
    <n v="150"/>
    <n v="4"/>
    <n v="1.527525442212927"/>
    <n v="6.1641152709500532E-2"/>
    <n v="0"/>
    <n v="4.836283810089264E-2"/>
    <n v="-3.4024133499166213E-2"/>
    <n v="0.73560524164479191"/>
    <n v="0.57714620256204074"/>
    <m/>
    <n v="0.73560524164479191"/>
    <n v="0.57714620256204074"/>
    <n v="0"/>
  </r>
  <r>
    <n v="19"/>
    <x v="18"/>
    <n v="1045650.9499684388"/>
    <n v="0.12380952380952376"/>
    <n v="0.92857142857142838"/>
    <n v="0.11944234483917017"/>
    <n v="9.1836734693877525E-4"/>
    <n v="8.8435374149659855E-4"/>
    <n v="150"/>
    <n v="4"/>
    <n v="1.527525442212927"/>
    <n v="6.1641152709500532E-2"/>
    <n v="0"/>
    <n v="4.836283810089264E-2"/>
    <n v="-3.4024133499166213E-2"/>
    <n v="0.68487384566928911"/>
    <n v="0.53734301617845182"/>
    <m/>
    <n v="0.68487384566928911"/>
    <n v="0.53734301617845182"/>
    <n v="0"/>
  </r>
  <r>
    <n v="20"/>
    <x v="19"/>
    <n v="965216.26150932815"/>
    <n v="0.11428571428571424"/>
    <n v="0.92307692307692313"/>
    <n v="0.1099487179487179"/>
    <n v="8.5034013605442141E-4"/>
    <n v="8.1632653061224482E-4"/>
    <n v="150"/>
    <n v="4"/>
    <n v="1.527525442212927"/>
    <n v="6.1641152709500532E-2"/>
    <n v="0"/>
    <n v="4.836283810089264E-2"/>
    <n v="-3.4024133499166213E-2"/>
    <n v="0.63414244969378608"/>
    <n v="0.49753982979486266"/>
    <m/>
    <n v="0.63414244969378608"/>
    <n v="0.49753982979486266"/>
    <n v="0"/>
  </r>
  <r>
    <n v="21"/>
    <x v="20"/>
    <n v="884781.57305021747"/>
    <n v="0.10476190476190472"/>
    <n v="0.91666666666666674"/>
    <n v="0.10046008741660911"/>
    <n v="7.8231292517006769E-4"/>
    <n v="7.4829931972789109E-4"/>
    <n v="150"/>
    <n v="4"/>
    <n v="1.527525442212927"/>
    <n v="6.1641152709500532E-2"/>
    <n v="0"/>
    <n v="4.836283810089264E-2"/>
    <n v="-3.4024133499166213E-2"/>
    <n v="0.58341105371828317"/>
    <n v="0.45773664341127362"/>
    <m/>
    <n v="0.58341105371828317"/>
    <n v="0.45773664341127362"/>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3:L25" firstHeaderRow="0" firstDataRow="1" firstDataCol="1"/>
  <pivotFields count="21">
    <pivotField showAll="0"/>
    <pivotField axis="axisRow" numFmtId="167" showAll="0">
      <items count="22">
        <item x="0"/>
        <item x="1"/>
        <item x="2"/>
        <item x="3"/>
        <item x="4"/>
        <item x="5"/>
        <item x="6"/>
        <item x="7"/>
        <item x="8"/>
        <item x="9"/>
        <item x="10"/>
        <item x="11"/>
        <item x="12"/>
        <item x="13"/>
        <item x="14"/>
        <item x="15"/>
        <item x="16"/>
        <item x="17"/>
        <item x="18"/>
        <item x="19"/>
        <item x="20"/>
        <item t="default"/>
      </items>
    </pivotField>
    <pivotField numFmtId="168" showAll="0"/>
    <pivotField numFmtId="167" showAll="0"/>
    <pivotField numFmtId="167" showAll="0"/>
    <pivotField numFmtId="167" showAll="0"/>
    <pivotField numFmtId="167" showAll="0"/>
    <pivotField numFmtId="167" showAll="0"/>
    <pivotField numFmtId="167" showAll="0"/>
    <pivotField numFmtId="167" showAll="0"/>
    <pivotField numFmtId="167" showAll="0"/>
    <pivotField numFmtId="167" showAll="0"/>
    <pivotField numFmtId="167" showAll="0"/>
    <pivotField numFmtId="167" showAll="0"/>
    <pivotField numFmtId="167" showAll="0"/>
    <pivotField numFmtId="167" showAll="0"/>
    <pivotField numFmtId="167" showAll="0"/>
    <pivotField showAll="0"/>
    <pivotField dataField="1" numFmtId="167" showAll="0"/>
    <pivotField dataField="1" numFmtId="167" showAll="0"/>
    <pivotField numFmtId="167" showAll="0"/>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2">
    <i>
      <x/>
    </i>
    <i i="1">
      <x v="1"/>
    </i>
  </colItems>
  <dataFields count="2">
    <dataField name="Sum of Drag (interfered)" fld="19" baseField="0" baseItem="0" numFmtId="167"/>
    <dataField name="Sum of Lift (interfered" fld="18" baseField="0" baseItem="0" numFmtId="167"/>
  </dataFields>
  <chartFormats count="2">
    <chartFormat chart="0" format="24" series="1">
      <pivotArea type="data" outline="0" fieldPosition="0">
        <references count="1">
          <reference field="4294967294" count="1" selected="0">
            <x v="0"/>
          </reference>
        </references>
      </pivotArea>
    </chartFormat>
    <chartFormat chart="0" format="25" series="1">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 name="Table1" displayName="Table1" ref="B76:G81" totalsRowShown="0" headerRowDxfId="64" dataDxfId="63">
  <autoFilter ref="B76:G81"/>
  <tableColumns count="6">
    <tableColumn id="1" name="Fin type" dataDxfId="62"/>
    <tableColumn id="2" name="Sweeped" dataDxfId="61">
      <calculatedColumnFormula>I64</calculatedColumnFormula>
    </tableColumn>
    <tableColumn id="3" name="Tapered 1/4" dataDxfId="60">
      <calculatedColumnFormula>K64</calculatedColumnFormula>
    </tableColumn>
    <tableColumn id="4" name="Tapered sweeped" dataDxfId="59"/>
    <tableColumn id="5" name="Column4" dataDxfId="58"/>
    <tableColumn id="6" name="Column5" dataDxfId="57"/>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J44:AF66" totalsRowCount="1" headerRowDxfId="56" dataDxfId="55">
  <autoFilter ref="J44:AF65"/>
  <tableColumns count="23">
    <tableColumn id="1" name="Node" dataDxfId="54" totalsRowDxfId="53"/>
    <tableColumn id="2" name="Span position (m)" dataDxfId="52" totalsRowDxfId="51">
      <calculatedColumnFormula>K44+$E$54/2/$C$61</calculatedColumnFormula>
    </tableColumn>
    <tableColumn id="10" name="Local max Reynolds" dataDxfId="50" totalsRowDxfId="49">
      <calculatedColumnFormula>($C$4*$C$12*M45)/$C$13</calculatedColumnFormula>
    </tableColumn>
    <tableColumn id="3" name="Local chord (m)" dataDxfId="48" totalsRowDxfId="47">
      <calculatedColumnFormula>((($E$49-$E$50)/($E$54/2))*K45)+$E$50</calculatedColumnFormula>
    </tableColumn>
    <tableColumn id="21" name="Local taper ratio" dataDxfId="46" totalsRowDxfId="45">
      <calculatedColumnFormula>M45/$E$50</calculatedColumnFormula>
    </tableColumn>
    <tableColumn id="20" name="Local MAC (m)" dataDxfId="44" totalsRowDxfId="43">
      <calculatedColumnFormula>(2/3)*$E$54*((N45^2+N45+1)/(N45+1))</calculatedColumnFormula>
    </tableColumn>
    <tableColumn id="4" name="Local surface (m^2)" dataDxfId="42" totalsRowDxfId="41">
      <calculatedColumnFormula>(M45+M44)/2*($K$45*2)</calculatedColumnFormula>
    </tableColumn>
    <tableColumn id="9" name="Local wetted surface (m^2)" dataDxfId="40" totalsRowDxfId="39">
      <calculatedColumnFormula>E51*Table2[[#This Row],[Span position (m)]]+Table2[[#This Row],[Local chord (m)]]*K45+E51*K45</calculatedColumnFormula>
    </tableColumn>
    <tableColumn id="22" name="Boundary-layer thickness (m)" dataDxfId="38" totalsRowDxfId="37">
      <calculatedColumnFormula>IF($C$11&gt;0.3,0,IF(L45&lt;500000,0.5*M45/(SQRT(M45)),0.37*M45/(L45^(1/5))))</calculatedColumnFormula>
    </tableColumn>
    <tableColumn id="14" name="Local u (m/s)" dataDxfId="36" totalsRowDxfId="35">
      <calculatedColumnFormula>$C$4</calculatedColumnFormula>
    </tableColumn>
    <tableColumn id="15" name="Local w (m/s)" dataDxfId="34" totalsRowDxfId="33">
      <calculatedColumnFormula>$C$6</calculatedColumnFormula>
    </tableColumn>
    <tableColumn id="5" name="AoA fins (rad)" dataDxfId="32" totalsRowDxfId="31">
      <calculatedColumnFormula>DEGREES(ATAN(T45/S45))</calculatedColumnFormula>
    </tableColumn>
    <tableColumn id="6" name="Cl" dataDxfId="30" totalsRowDxfId="29">
      <calculatedColumnFormula>IF($C$11&lt;1,($C$62*RADIANS(U45))/SQRT(1-$C$11^2),(4*RADIANS(U45))/SQRT($C$11^2-1))</calculatedColumnFormula>
    </tableColumn>
    <tableColumn id="19" name="Cf" dataDxfId="28" totalsRowDxfId="27">
      <calculatedColumnFormula>IF($C$11&lt;0.3,IF((L45&gt;500000),0.074/L45^(1/5),1.328/SQRT(L45)),0)</calculatedColumnFormula>
    </tableColumn>
    <tableColumn id="7" name="Cd" dataDxfId="26" totalsRowDxfId="25">
      <calculatedColumnFormula>$C$63+(0.2*($C$63+W45+(V45^2/PI()*$C$56)))</calculatedColumnFormula>
    </tableColumn>
    <tableColumn id="8" name="Cm,LE" dataDxfId="24" totalsRowDxfId="23">
      <calculatedColumnFormula>IF($C$11&lt;1,(-V45/2)/SQRT(1-$C$11^2),1)</calculatedColumnFormula>
    </tableColumn>
    <tableColumn id="23" name="Xcp location" dataDxfId="22" totalsRowDxfId="21">
      <calculatedColumnFormula>IF($C$11&gt;0.3, 1, 0.25*M45)</calculatedColumnFormula>
    </tableColumn>
    <tableColumn id="11" name="Lift" totalsRowFunction="custom" dataDxfId="20" totalsRowDxfId="19">
      <calculatedColumnFormula>0.5*$C$12*(S45^2)*P45*V45</calculatedColumnFormula>
      <totalsRowFormula>SUM(Table2[Lift])</totalsRowFormula>
    </tableColumn>
    <tableColumn id="12" name="Drag" totalsRowFunction="custom" dataDxfId="18" totalsRowDxfId="17">
      <calculatedColumnFormula>0.5*$C$12*(S45^2)*P45*X45</calculatedColumnFormula>
      <totalsRowFormula>SUM(Table2[Drag])</totalsRowFormula>
    </tableColumn>
    <tableColumn id="13" name="Moment (x-z)" totalsRowFunction="custom" dataDxfId="16" totalsRowDxfId="15">
      <calculatedColumnFormula>0.5*$C$12*(S45^2)*P45*O45*Y45</calculatedColumnFormula>
      <totalsRowFormula>SUM(Table2[Moment (x-z)])</totalsRowFormula>
    </tableColumn>
    <tableColumn id="16" name="Lift (interfered" totalsRowFunction="custom" dataDxfId="14" totalsRowDxfId="13">
      <calculatedColumnFormula>IF(K45&gt;$E$66/2,AA45,0)</calculatedColumnFormula>
      <totalsRowFormula>SUM(Table2[Lift (interfered])</totalsRowFormula>
    </tableColumn>
    <tableColumn id="17" name="Drag (interfered)" totalsRowFunction="custom" dataDxfId="12" totalsRowDxfId="11">
      <calculatedColumnFormula>IF(K45&gt;$E$66/2,Table2[[#This Row],[Drag]],0)</calculatedColumnFormula>
      <totalsRowFormula>SUM(Table2[Drag (interfered)])</totalsRowFormula>
    </tableColumn>
    <tableColumn id="18" name="Moment (interfered)" totalsRowFunction="custom" dataDxfId="10" totalsRowDxfId="9">
      <calculatedColumnFormula>IF(K45&gt;$E$66,Table2[[#This Row],[Moment (x-z)]],0)</calculatedColumnFormula>
      <totalsRowFormula>SUM(Table2[Moment (interfered)])</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printerSettings" Target="../printerSettings/printerSettings1.bin"/><Relationship Id="rId7" Type="http://schemas.openxmlformats.org/officeDocument/2006/relationships/vmlDrawing" Target="../drawings/vmlDrawing2.vml"/><Relationship Id="rId2" Type="http://schemas.openxmlformats.org/officeDocument/2006/relationships/hyperlink" Target="https://innovationspace.ansys.com/product/aerodynamics-of-a-rocket-using-ansys-fluent/" TargetMode="External"/><Relationship Id="rId1" Type="http://schemas.openxmlformats.org/officeDocument/2006/relationships/hyperlink" Target="https://ansyshelp.ansys.com/public/account/secured?returnurl=/Views/Secured/corp/v242/en/flu_tg/flu_tg_oneram6_wing.html"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customProperty" Target="../customProperty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customProperty" Target="../customProperty2.bin"/><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youtube.com/watch?v=-05AlwGI7Jo" TargetMode="External"/><Relationship Id="rId1" Type="http://schemas.openxmlformats.org/officeDocument/2006/relationships/hyperlink" Target="https://www.youtube.com/watch?v=-05AlwGI7Jo" TargetMode="External"/><Relationship Id="rId6" Type="http://schemas.openxmlformats.org/officeDocument/2006/relationships/table" Target="../tables/table1.xml"/><Relationship Id="rId5" Type="http://schemas.openxmlformats.org/officeDocument/2006/relationships/drawing" Target="../drawings/drawing2.xml"/><Relationship Id="rId4"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customProperty" Target="../customProperty4.bin"/><Relationship Id="rId1" Type="http://schemas.openxmlformats.org/officeDocument/2006/relationships/printerSettings" Target="../printerSettings/printerSettings4.bin"/><Relationship Id="rId5" Type="http://schemas.openxmlformats.org/officeDocument/2006/relationships/comments" Target="../comments3.xml"/><Relationship Id="rId4"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customProperty" Target="../customProperty5.bin"/><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customProperty" Target="../customProperty6.bin"/><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ustomProperty" Target="../customProperty7.bin"/><Relationship Id="rId7" Type="http://schemas.openxmlformats.org/officeDocument/2006/relationships/comments" Target="../comments5.xml"/><Relationship Id="rId2" Type="http://schemas.openxmlformats.org/officeDocument/2006/relationships/printerSettings" Target="../printerSettings/printerSettings8.bin"/><Relationship Id="rId1" Type="http://schemas.openxmlformats.org/officeDocument/2006/relationships/pivotTable" Target="../pivotTables/pivotTable1.xml"/><Relationship Id="rId6" Type="http://schemas.openxmlformats.org/officeDocument/2006/relationships/table" Target="../tables/table2.xml"/><Relationship Id="rId5" Type="http://schemas.openxmlformats.org/officeDocument/2006/relationships/vmlDrawing" Target="../drawings/vmlDrawing6.vml"/><Relationship Id="rId4"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52:L268"/>
  <sheetViews>
    <sheetView view="pageLayout" topLeftCell="A54" zoomScale="80" zoomScaleNormal="100" zoomScalePageLayoutView="80" workbookViewId="0">
      <selection activeCell="J215" sqref="J215"/>
    </sheetView>
  </sheetViews>
  <sheetFormatPr defaultColWidth="8.875" defaultRowHeight="12.75"/>
  <cols>
    <col min="1" max="1" width="12.75" style="144" customWidth="1"/>
    <col min="2" max="9" width="7.25" style="144" customWidth="1"/>
    <col min="10" max="16384" width="8.875" style="144"/>
  </cols>
  <sheetData>
    <row r="52" spans="1:12">
      <c r="A52" s="143"/>
      <c r="B52" s="143"/>
      <c r="C52" s="143"/>
      <c r="D52" s="143"/>
      <c r="E52" s="143"/>
      <c r="F52" s="143"/>
      <c r="G52" s="143"/>
      <c r="H52" s="143"/>
      <c r="I52" s="143"/>
      <c r="J52" s="143"/>
      <c r="K52" s="143"/>
      <c r="L52" s="143"/>
    </row>
    <row r="53" spans="1:12" ht="13.5" thickBot="1">
      <c r="A53" s="143"/>
      <c r="B53" s="145" t="s">
        <v>0</v>
      </c>
      <c r="C53" s="143"/>
      <c r="D53" s="143"/>
      <c r="E53" s="143"/>
      <c r="F53" s="143"/>
      <c r="G53" s="143"/>
      <c r="H53" s="143"/>
      <c r="I53" s="143"/>
      <c r="J53" s="143"/>
      <c r="K53" s="143"/>
      <c r="L53" s="143"/>
    </row>
    <row r="54" spans="1:12">
      <c r="A54" s="143"/>
      <c r="B54" s="146"/>
      <c r="C54" s="143"/>
      <c r="D54" s="143"/>
      <c r="E54" s="143"/>
      <c r="F54" s="143"/>
      <c r="G54" s="143"/>
      <c r="H54" s="143"/>
      <c r="I54" s="143"/>
      <c r="J54" s="143"/>
      <c r="K54" s="143"/>
      <c r="L54" s="143"/>
    </row>
    <row r="55" spans="1:12" ht="13.5" thickBot="1">
      <c r="A55" s="143"/>
      <c r="B55" s="147" t="s">
        <v>1</v>
      </c>
      <c r="C55" s="143"/>
      <c r="D55" s="143"/>
      <c r="E55" s="143"/>
      <c r="F55" s="143"/>
      <c r="G55" s="143"/>
      <c r="H55" s="143"/>
      <c r="I55" s="143"/>
      <c r="J55" s="143"/>
      <c r="K55" s="143"/>
      <c r="L55" s="143"/>
    </row>
    <row r="56" spans="1:12">
      <c r="A56" s="143"/>
      <c r="B56" s="143" t="s">
        <v>2</v>
      </c>
      <c r="C56" s="143"/>
      <c r="D56" s="143"/>
      <c r="E56" s="143"/>
      <c r="F56" s="143"/>
      <c r="G56" s="143"/>
      <c r="H56" s="143"/>
      <c r="I56" s="143"/>
      <c r="J56" s="143"/>
      <c r="K56" s="143"/>
      <c r="L56" s="143"/>
    </row>
    <row r="57" spans="1:12">
      <c r="A57" s="143"/>
      <c r="B57" s="143" t="s">
        <v>3</v>
      </c>
      <c r="C57" s="143"/>
      <c r="D57" s="143"/>
      <c r="E57" s="143"/>
      <c r="F57" s="143"/>
      <c r="G57" s="143"/>
      <c r="H57" s="143"/>
      <c r="I57" s="143"/>
      <c r="J57" s="143"/>
      <c r="K57" s="143"/>
      <c r="L57" s="143"/>
    </row>
    <row r="58" spans="1:12">
      <c r="A58" s="143"/>
      <c r="B58" s="143" t="s">
        <v>4</v>
      </c>
      <c r="C58" s="143"/>
      <c r="D58" s="143"/>
      <c r="E58" s="143"/>
      <c r="F58" s="143"/>
      <c r="G58" s="143"/>
      <c r="H58" s="143"/>
      <c r="I58" s="143"/>
      <c r="J58" s="143"/>
      <c r="K58" s="143"/>
      <c r="L58" s="143"/>
    </row>
    <row r="59" spans="1:12">
      <c r="A59" s="143"/>
      <c r="B59" s="143" t="s">
        <v>5</v>
      </c>
      <c r="C59" s="143"/>
      <c r="D59" s="143"/>
      <c r="E59" s="143"/>
      <c r="F59" s="143"/>
      <c r="G59" s="143"/>
      <c r="H59" s="143"/>
      <c r="I59" s="143"/>
      <c r="J59" s="143"/>
      <c r="K59" s="143"/>
      <c r="L59" s="143"/>
    </row>
    <row r="60" spans="1:12">
      <c r="A60" s="143"/>
      <c r="B60" s="143" t="s">
        <v>6</v>
      </c>
      <c r="C60" s="143"/>
      <c r="D60" s="143"/>
      <c r="E60" s="143"/>
      <c r="F60" s="143"/>
      <c r="G60" s="143"/>
      <c r="H60" s="143"/>
      <c r="I60" s="143"/>
      <c r="J60" s="143"/>
      <c r="K60" s="143"/>
      <c r="L60" s="143"/>
    </row>
    <row r="61" spans="1:12">
      <c r="A61" s="143"/>
      <c r="B61" s="143" t="s">
        <v>7</v>
      </c>
      <c r="C61" s="143"/>
      <c r="D61" s="143"/>
      <c r="E61" s="143"/>
      <c r="F61" s="143"/>
      <c r="G61" s="143"/>
      <c r="H61" s="143"/>
      <c r="I61" s="143"/>
      <c r="J61" s="143"/>
      <c r="K61" s="143"/>
      <c r="L61" s="143"/>
    </row>
    <row r="62" spans="1:12">
      <c r="A62" s="143"/>
      <c r="B62" s="143" t="s">
        <v>8</v>
      </c>
      <c r="C62" s="143"/>
      <c r="D62" s="143"/>
      <c r="E62" s="143"/>
      <c r="F62" s="143"/>
      <c r="G62" s="143"/>
      <c r="H62" s="143"/>
      <c r="I62" s="146"/>
      <c r="J62" s="143"/>
      <c r="K62" s="143"/>
      <c r="L62" s="143"/>
    </row>
    <row r="63" spans="1:12">
      <c r="A63" s="143"/>
      <c r="B63" s="143" t="s">
        <v>9</v>
      </c>
      <c r="C63" s="143"/>
      <c r="D63" s="143"/>
      <c r="E63" s="143"/>
      <c r="F63" s="143"/>
      <c r="G63" s="143"/>
      <c r="H63" s="143"/>
      <c r="I63" s="143"/>
      <c r="J63" s="143"/>
      <c r="K63" s="143"/>
      <c r="L63" s="143"/>
    </row>
    <row r="64" spans="1:12">
      <c r="A64" s="143"/>
      <c r="B64" s="143" t="s">
        <v>10</v>
      </c>
      <c r="C64" s="143"/>
      <c r="D64" s="143"/>
      <c r="E64" s="143"/>
      <c r="F64" s="143"/>
      <c r="G64" s="143"/>
      <c r="H64" s="143"/>
      <c r="I64" s="143"/>
      <c r="J64" s="143"/>
      <c r="K64" s="143"/>
      <c r="L64" s="143"/>
    </row>
    <row r="65" spans="1:12">
      <c r="A65" s="143"/>
      <c r="B65" s="143" t="s">
        <v>11</v>
      </c>
      <c r="C65" s="143"/>
      <c r="D65" s="143"/>
      <c r="E65" s="143"/>
      <c r="F65" s="143"/>
      <c r="G65" s="143"/>
      <c r="H65" s="143"/>
      <c r="I65" s="143"/>
      <c r="J65" s="143"/>
      <c r="K65" s="143"/>
      <c r="L65" s="143"/>
    </row>
    <row r="66" spans="1:12">
      <c r="A66" s="143"/>
      <c r="B66" s="143" t="s">
        <v>12</v>
      </c>
      <c r="C66" s="143"/>
      <c r="D66" s="143"/>
      <c r="E66" s="143"/>
      <c r="F66" s="143"/>
      <c r="G66" s="143"/>
      <c r="H66" s="143"/>
      <c r="I66" s="143"/>
      <c r="J66" s="143"/>
      <c r="K66" s="143"/>
      <c r="L66" s="143"/>
    </row>
    <row r="67" spans="1:12">
      <c r="A67" s="143"/>
      <c r="B67" s="143" t="s">
        <v>13</v>
      </c>
      <c r="C67" s="143"/>
      <c r="D67" s="143"/>
      <c r="E67" s="143"/>
      <c r="F67" s="143"/>
      <c r="G67" s="143"/>
      <c r="H67" s="143"/>
      <c r="I67" s="143"/>
      <c r="J67" s="143"/>
      <c r="K67" s="143"/>
      <c r="L67" s="143"/>
    </row>
    <row r="68" spans="1:12">
      <c r="A68" s="143"/>
      <c r="B68" s="143" t="s">
        <v>14</v>
      </c>
      <c r="C68" s="143"/>
      <c r="D68" s="143"/>
      <c r="E68" s="143"/>
      <c r="F68" s="143"/>
      <c r="G68" s="143"/>
      <c r="H68" s="143"/>
      <c r="I68" s="143"/>
      <c r="J68" s="143"/>
      <c r="K68" s="143"/>
      <c r="L68" s="143"/>
    </row>
    <row r="69" spans="1:12">
      <c r="A69" s="143"/>
      <c r="B69" s="143" t="s">
        <v>15</v>
      </c>
      <c r="C69" s="143"/>
      <c r="D69" s="143"/>
      <c r="E69" s="143"/>
      <c r="F69" s="143"/>
      <c r="G69" s="143"/>
      <c r="H69" s="143"/>
      <c r="I69" s="143"/>
      <c r="J69" s="143"/>
      <c r="K69" s="143"/>
      <c r="L69" s="143"/>
    </row>
    <row r="70" spans="1:12">
      <c r="A70" s="143"/>
      <c r="B70" s="143" t="s">
        <v>16</v>
      </c>
      <c r="C70" s="143"/>
      <c r="D70" s="143"/>
      <c r="E70" s="143"/>
      <c r="F70" s="143"/>
      <c r="G70" s="143"/>
      <c r="H70" s="143"/>
      <c r="I70" s="143"/>
      <c r="J70" s="143"/>
      <c r="K70" s="143"/>
      <c r="L70" s="143"/>
    </row>
    <row r="71" spans="1:12">
      <c r="A71" s="143"/>
      <c r="B71" s="143" t="s">
        <v>17</v>
      </c>
      <c r="C71" s="143"/>
      <c r="D71" s="143"/>
      <c r="E71" s="143"/>
      <c r="F71" s="143"/>
      <c r="G71" s="143"/>
      <c r="H71" s="143"/>
      <c r="I71" s="143"/>
      <c r="J71" s="143"/>
      <c r="K71" s="143"/>
      <c r="L71" s="143"/>
    </row>
    <row r="72" spans="1:12">
      <c r="A72" s="143"/>
      <c r="B72" s="143" t="s">
        <v>18</v>
      </c>
      <c r="C72" s="143"/>
      <c r="D72" s="143"/>
      <c r="E72" s="143"/>
      <c r="F72" s="143"/>
      <c r="G72" s="143"/>
      <c r="H72" s="143"/>
      <c r="I72" s="143"/>
      <c r="J72" s="143"/>
      <c r="K72" s="143"/>
      <c r="L72" s="143"/>
    </row>
    <row r="73" spans="1:12">
      <c r="A73" s="143"/>
      <c r="B73" s="143" t="s">
        <v>19</v>
      </c>
      <c r="C73" s="143"/>
      <c r="D73" s="143"/>
      <c r="E73" s="143"/>
      <c r="F73" s="143"/>
      <c r="G73" s="143"/>
      <c r="H73" s="143"/>
      <c r="I73" s="143"/>
      <c r="J73" s="143"/>
      <c r="K73" s="143"/>
      <c r="L73" s="143"/>
    </row>
    <row r="74" spans="1:12">
      <c r="A74" s="143"/>
      <c r="B74" s="143" t="s">
        <v>20</v>
      </c>
      <c r="C74" s="143"/>
      <c r="D74" s="143"/>
      <c r="E74" s="143"/>
      <c r="F74" s="143"/>
      <c r="G74" s="143"/>
      <c r="H74" s="143"/>
      <c r="I74" s="143"/>
      <c r="J74" s="143"/>
      <c r="K74" s="143"/>
      <c r="L74" s="143"/>
    </row>
    <row r="75" spans="1:12">
      <c r="A75" s="143"/>
      <c r="B75" s="143" t="s">
        <v>21</v>
      </c>
      <c r="C75" s="143"/>
      <c r="D75" s="143"/>
      <c r="E75" s="143"/>
      <c r="F75" s="143"/>
      <c r="G75" s="143"/>
      <c r="H75" s="143"/>
      <c r="I75" s="143"/>
      <c r="J75" s="143"/>
      <c r="K75" s="143"/>
      <c r="L75" s="143"/>
    </row>
    <row r="76" spans="1:12">
      <c r="A76" s="143"/>
      <c r="B76" s="143" t="s">
        <v>22</v>
      </c>
      <c r="C76" s="143"/>
      <c r="D76" s="143"/>
      <c r="E76" s="143"/>
      <c r="F76" s="143"/>
      <c r="G76" s="143"/>
      <c r="H76" s="143"/>
      <c r="I76" s="143"/>
      <c r="J76" s="143"/>
      <c r="K76" s="143"/>
      <c r="L76" s="143"/>
    </row>
    <row r="77" spans="1:12">
      <c r="A77" s="143"/>
      <c r="B77" s="143" t="s">
        <v>23</v>
      </c>
      <c r="C77" s="143"/>
      <c r="D77" s="143"/>
      <c r="E77" s="143"/>
      <c r="F77" s="143"/>
      <c r="G77" s="143"/>
      <c r="H77" s="143"/>
      <c r="I77" s="143"/>
      <c r="J77" s="143"/>
      <c r="K77" s="143"/>
      <c r="L77" s="143"/>
    </row>
    <row r="78" spans="1:12">
      <c r="A78" s="143"/>
      <c r="B78" s="143" t="s">
        <v>24</v>
      </c>
      <c r="C78" s="143"/>
      <c r="D78" s="143"/>
      <c r="E78" s="143"/>
      <c r="F78" s="143"/>
      <c r="G78" s="143"/>
      <c r="H78" s="143"/>
      <c r="I78" s="143"/>
      <c r="J78" s="143"/>
      <c r="K78" s="143"/>
      <c r="L78" s="143"/>
    </row>
    <row r="79" spans="1:12">
      <c r="A79" s="143"/>
      <c r="B79" s="143" t="s">
        <v>25</v>
      </c>
      <c r="C79" s="143"/>
      <c r="D79" s="143"/>
      <c r="E79" s="143"/>
      <c r="F79" s="143"/>
      <c r="G79" s="143"/>
      <c r="H79" s="143"/>
      <c r="I79" s="143"/>
      <c r="J79" s="143"/>
      <c r="K79" s="143"/>
      <c r="L79" s="143"/>
    </row>
    <row r="80" spans="1:12">
      <c r="A80" s="143"/>
      <c r="B80" s="143" t="s">
        <v>26</v>
      </c>
      <c r="C80" s="143"/>
      <c r="D80" s="143"/>
      <c r="E80" s="143"/>
      <c r="F80" s="143"/>
      <c r="G80" s="143"/>
      <c r="H80" s="143"/>
      <c r="I80" s="143"/>
      <c r="J80" s="143"/>
      <c r="K80" s="143"/>
      <c r="L80" s="143"/>
    </row>
    <row r="81" spans="1:12">
      <c r="A81" s="143"/>
      <c r="B81" s="143" t="s">
        <v>27</v>
      </c>
      <c r="C81" s="143"/>
      <c r="D81" s="143"/>
      <c r="E81" s="143"/>
      <c r="F81" s="143"/>
      <c r="G81" s="143"/>
      <c r="H81" s="143"/>
      <c r="I81" s="143"/>
      <c r="J81" s="143"/>
      <c r="K81" s="143"/>
      <c r="L81" s="143"/>
    </row>
    <row r="82" spans="1:12">
      <c r="A82" s="143"/>
      <c r="B82" s="143" t="s">
        <v>28</v>
      </c>
      <c r="C82" s="143"/>
      <c r="D82" s="143"/>
      <c r="E82" s="143"/>
      <c r="F82" s="143"/>
      <c r="G82" s="143"/>
      <c r="H82" s="143"/>
      <c r="I82" s="143"/>
      <c r="J82" s="143"/>
      <c r="K82" s="143"/>
      <c r="L82" s="143"/>
    </row>
    <row r="83" spans="1:12">
      <c r="A83" s="143"/>
      <c r="B83" s="143" t="s">
        <v>29</v>
      </c>
      <c r="C83" s="143"/>
      <c r="D83" s="143"/>
      <c r="E83" s="143"/>
      <c r="F83" s="143"/>
      <c r="G83" s="143"/>
      <c r="H83" s="143"/>
      <c r="I83" s="143"/>
      <c r="J83" s="143"/>
      <c r="K83" s="143"/>
      <c r="L83" s="143"/>
    </row>
    <row r="84" spans="1:12">
      <c r="A84" s="143"/>
      <c r="B84" s="143" t="s">
        <v>30</v>
      </c>
      <c r="C84" s="143"/>
      <c r="D84" s="143"/>
      <c r="E84" s="143"/>
      <c r="F84" s="143"/>
      <c r="G84" s="143"/>
      <c r="H84" s="143"/>
      <c r="I84" s="143"/>
      <c r="J84" s="143"/>
      <c r="K84" s="143"/>
      <c r="L84" s="143"/>
    </row>
    <row r="85" spans="1:12">
      <c r="A85" s="143"/>
      <c r="B85" s="143" t="s">
        <v>31</v>
      </c>
      <c r="C85" s="143"/>
      <c r="D85" s="143"/>
      <c r="E85" s="143"/>
      <c r="F85" s="143"/>
      <c r="G85" s="143"/>
      <c r="H85" s="143"/>
      <c r="I85" s="143"/>
      <c r="J85" s="143"/>
      <c r="K85" s="143"/>
      <c r="L85" s="143"/>
    </row>
    <row r="86" spans="1:12">
      <c r="A86" s="143"/>
      <c r="B86" s="143" t="s">
        <v>32</v>
      </c>
      <c r="C86" s="143"/>
      <c r="D86" s="143"/>
      <c r="E86" s="143"/>
      <c r="F86" s="143"/>
      <c r="G86" s="143"/>
      <c r="H86" s="143"/>
      <c r="I86" s="143"/>
      <c r="J86" s="143"/>
      <c r="K86" s="143"/>
      <c r="L86" s="143"/>
    </row>
    <row r="87" spans="1:12">
      <c r="A87" s="143"/>
      <c r="B87" s="143" t="s">
        <v>33</v>
      </c>
      <c r="C87" s="143"/>
      <c r="D87" s="143"/>
      <c r="E87" s="143"/>
      <c r="F87" s="143"/>
      <c r="G87" s="143"/>
      <c r="H87" s="143"/>
      <c r="I87" s="143"/>
      <c r="J87" s="143"/>
      <c r="K87" s="143"/>
      <c r="L87" s="143"/>
    </row>
    <row r="88" spans="1:12">
      <c r="A88" s="143"/>
      <c r="B88" s="143" t="s">
        <v>34</v>
      </c>
      <c r="C88" s="143"/>
      <c r="D88" s="143"/>
      <c r="E88" s="143"/>
      <c r="F88" s="143"/>
      <c r="G88" s="143"/>
      <c r="H88" s="143"/>
      <c r="I88" s="143"/>
      <c r="J88" s="143"/>
      <c r="K88" s="143"/>
      <c r="L88" s="143"/>
    </row>
    <row r="89" spans="1:12">
      <c r="A89" s="143"/>
      <c r="B89" s="143" t="s">
        <v>35</v>
      </c>
      <c r="C89" s="143"/>
      <c r="D89" s="143"/>
      <c r="E89" s="143"/>
      <c r="F89" s="143"/>
      <c r="G89" s="143"/>
      <c r="H89" s="143"/>
      <c r="I89" s="143"/>
      <c r="J89" s="143"/>
      <c r="K89" s="143"/>
      <c r="L89" s="143"/>
    </row>
    <row r="90" spans="1:12">
      <c r="A90" s="143"/>
      <c r="B90" s="143" t="s">
        <v>36</v>
      </c>
      <c r="C90" s="143"/>
      <c r="D90" s="143"/>
      <c r="E90" s="143"/>
      <c r="F90" s="143"/>
      <c r="G90" s="143"/>
      <c r="H90" s="143"/>
      <c r="I90" s="143"/>
      <c r="J90" s="143"/>
      <c r="K90" s="143"/>
      <c r="L90" s="143"/>
    </row>
    <row r="91" spans="1:12">
      <c r="A91" s="143"/>
      <c r="B91" s="143" t="s">
        <v>37</v>
      </c>
      <c r="C91" s="143"/>
      <c r="D91" s="143"/>
      <c r="E91" s="143"/>
      <c r="F91" s="143"/>
      <c r="G91" s="143"/>
      <c r="H91" s="143"/>
      <c r="I91" s="143"/>
      <c r="J91" s="143"/>
      <c r="K91" s="143"/>
      <c r="L91" s="143"/>
    </row>
    <row r="92" spans="1:12">
      <c r="A92" s="143"/>
      <c r="B92" s="143" t="s">
        <v>38</v>
      </c>
      <c r="C92" s="143"/>
      <c r="D92" s="143"/>
      <c r="E92" s="143"/>
      <c r="F92" s="143"/>
      <c r="G92" s="143"/>
      <c r="H92" s="143"/>
      <c r="I92" s="143"/>
      <c r="J92" s="143"/>
      <c r="K92" s="143"/>
      <c r="L92" s="143"/>
    </row>
    <row r="93" spans="1:12">
      <c r="A93" s="143"/>
      <c r="B93" s="143" t="s">
        <v>39</v>
      </c>
      <c r="C93" s="143"/>
      <c r="D93" s="143"/>
      <c r="E93" s="143"/>
      <c r="F93" s="143"/>
      <c r="G93" s="143"/>
      <c r="H93" s="143"/>
      <c r="I93" s="143"/>
      <c r="J93" s="143"/>
      <c r="K93" s="143"/>
      <c r="L93" s="143"/>
    </row>
    <row r="94" spans="1:12">
      <c r="A94" s="143"/>
      <c r="B94" s="143" t="s">
        <v>40</v>
      </c>
      <c r="C94" s="143"/>
      <c r="D94" s="143"/>
      <c r="E94" s="143"/>
      <c r="F94" s="143"/>
      <c r="G94" s="143"/>
      <c r="H94" s="143"/>
      <c r="I94" s="143"/>
      <c r="J94" s="143"/>
      <c r="K94" s="143"/>
      <c r="L94" s="143"/>
    </row>
    <row r="95" spans="1:12">
      <c r="A95" s="143"/>
      <c r="B95" s="143" t="s">
        <v>41</v>
      </c>
      <c r="C95" s="143"/>
      <c r="D95" s="143"/>
      <c r="E95" s="143"/>
      <c r="F95" s="143"/>
      <c r="G95" s="143"/>
      <c r="H95" s="143"/>
      <c r="I95" s="143"/>
      <c r="J95" s="143"/>
      <c r="K95" s="143"/>
      <c r="L95" s="143"/>
    </row>
    <row r="96" spans="1:12">
      <c r="A96" s="143"/>
      <c r="B96" s="143" t="s">
        <v>42</v>
      </c>
      <c r="C96" s="143"/>
      <c r="D96" s="143"/>
      <c r="E96" s="143"/>
      <c r="F96" s="143"/>
      <c r="G96" s="143"/>
      <c r="H96" s="143"/>
      <c r="I96" s="143"/>
      <c r="J96" s="143"/>
      <c r="K96" s="143"/>
      <c r="L96" s="143"/>
    </row>
    <row r="97" spans="1:12">
      <c r="A97" s="143"/>
      <c r="B97" s="143" t="s">
        <v>43</v>
      </c>
      <c r="C97" s="143"/>
      <c r="D97" s="143"/>
      <c r="E97" s="143"/>
      <c r="F97" s="143"/>
      <c r="G97" s="143"/>
      <c r="H97" s="143"/>
      <c r="I97" s="143"/>
      <c r="J97" s="143"/>
      <c r="K97" s="143"/>
      <c r="L97" s="143"/>
    </row>
    <row r="98" spans="1:12">
      <c r="A98" s="143"/>
      <c r="B98" s="143"/>
      <c r="C98" s="143"/>
      <c r="D98" s="143"/>
      <c r="E98" s="143"/>
      <c r="F98" s="143"/>
      <c r="G98" s="143"/>
      <c r="H98" s="143"/>
      <c r="I98" s="143"/>
      <c r="J98" s="143"/>
      <c r="K98" s="143"/>
      <c r="L98" s="143"/>
    </row>
    <row r="99" spans="1:12">
      <c r="A99" s="143"/>
      <c r="B99" s="143"/>
      <c r="C99" s="143"/>
      <c r="D99" s="143"/>
      <c r="E99" s="143"/>
      <c r="F99" s="143"/>
      <c r="G99" s="143"/>
      <c r="H99" s="143"/>
      <c r="I99" s="143"/>
      <c r="J99" s="143"/>
      <c r="K99" s="143"/>
      <c r="L99" s="143"/>
    </row>
    <row r="100" spans="1:12">
      <c r="A100" s="143"/>
      <c r="B100" s="143"/>
      <c r="C100" s="143"/>
      <c r="D100" s="143"/>
      <c r="E100" s="143"/>
      <c r="F100" s="143"/>
      <c r="G100" s="143"/>
      <c r="H100" s="143"/>
      <c r="I100" s="143"/>
      <c r="J100" s="143"/>
      <c r="K100" s="143"/>
      <c r="L100" s="143"/>
    </row>
    <row r="101" spans="1:12">
      <c r="A101" s="143"/>
      <c r="B101" s="143"/>
      <c r="C101" s="143"/>
      <c r="D101" s="143"/>
      <c r="E101" s="143"/>
      <c r="F101" s="143"/>
      <c r="G101" s="143"/>
      <c r="H101" s="143"/>
      <c r="I101" s="143"/>
      <c r="J101" s="143"/>
      <c r="K101" s="143"/>
      <c r="L101" s="143"/>
    </row>
    <row r="102" spans="1:12">
      <c r="A102" s="143"/>
      <c r="B102" s="143"/>
      <c r="C102" s="143"/>
      <c r="D102" s="143"/>
      <c r="E102" s="143"/>
      <c r="F102" s="143"/>
      <c r="G102" s="143"/>
      <c r="H102" s="143"/>
      <c r="I102" s="143"/>
      <c r="J102" s="143"/>
      <c r="K102" s="143"/>
      <c r="L102" s="143"/>
    </row>
    <row r="103" spans="1:12">
      <c r="A103" s="143"/>
      <c r="B103" s="143"/>
      <c r="C103" s="143"/>
      <c r="D103" s="143"/>
      <c r="E103" s="143"/>
      <c r="F103" s="143"/>
      <c r="G103" s="143"/>
      <c r="H103" s="143"/>
      <c r="I103" s="143"/>
      <c r="J103" s="143"/>
      <c r="K103" s="143"/>
      <c r="L103" s="143"/>
    </row>
    <row r="104" spans="1:12" ht="13.5" thickBot="1"/>
    <row r="105" spans="1:12" ht="13.5" thickBot="1">
      <c r="A105" s="148" t="s">
        <v>44</v>
      </c>
      <c r="B105" s="149" t="s">
        <v>45</v>
      </c>
      <c r="C105" s="150"/>
      <c r="D105" s="150"/>
      <c r="E105" s="150"/>
      <c r="F105" s="151" t="s">
        <v>46</v>
      </c>
      <c r="G105" s="130" t="s">
        <v>47</v>
      </c>
      <c r="H105" s="130"/>
      <c r="I105" s="148" t="s">
        <v>48</v>
      </c>
      <c r="J105" s="149">
        <v>1</v>
      </c>
      <c r="K105" s="152" t="s">
        <v>49</v>
      </c>
      <c r="L105" s="153">
        <v>2</v>
      </c>
    </row>
    <row r="106" spans="1:12" ht="13.5" thickBot="1">
      <c r="A106" s="148" t="s">
        <v>50</v>
      </c>
      <c r="B106" s="149" t="s">
        <v>51</v>
      </c>
      <c r="C106" s="150"/>
      <c r="D106" s="150"/>
      <c r="E106" s="153"/>
      <c r="F106" s="148" t="s">
        <v>52</v>
      </c>
      <c r="G106" s="149"/>
      <c r="H106" s="150"/>
      <c r="I106" s="150"/>
      <c r="J106" s="147"/>
      <c r="K106" s="147"/>
      <c r="L106" s="154"/>
    </row>
    <row r="107" spans="1:12" ht="13.5" thickBot="1">
      <c r="A107" s="148" t="s">
        <v>53</v>
      </c>
      <c r="B107" s="155" t="s">
        <v>54</v>
      </c>
      <c r="C107" s="150"/>
      <c r="D107" s="150"/>
      <c r="E107" s="153"/>
      <c r="F107" s="148" t="s">
        <v>55</v>
      </c>
      <c r="G107" s="149"/>
      <c r="H107" s="150"/>
      <c r="I107" s="150"/>
      <c r="J107" s="150"/>
      <c r="K107" s="150"/>
      <c r="L107" s="153"/>
    </row>
    <row r="108" spans="1:12">
      <c r="A108" s="308" t="s">
        <v>56</v>
      </c>
      <c r="B108" s="156" t="s">
        <v>57</v>
      </c>
      <c r="C108" s="130"/>
      <c r="D108" s="130"/>
      <c r="E108" s="130"/>
      <c r="F108" s="130"/>
      <c r="G108" s="130"/>
      <c r="H108" s="130"/>
      <c r="I108" s="130"/>
      <c r="J108" s="130"/>
      <c r="K108" s="130"/>
      <c r="L108" s="157"/>
    </row>
    <row r="109" spans="1:12">
      <c r="A109" s="308"/>
      <c r="B109" s="158"/>
      <c r="C109" s="143"/>
      <c r="D109" s="143"/>
      <c r="E109" s="143"/>
      <c r="F109" s="143"/>
      <c r="G109" s="143"/>
      <c r="H109" s="143"/>
      <c r="I109" s="143"/>
      <c r="J109" s="143"/>
      <c r="K109" s="143"/>
      <c r="L109" s="159"/>
    </row>
    <row r="110" spans="1:12" ht="13.5" thickBot="1">
      <c r="A110" s="308"/>
      <c r="B110" s="160"/>
      <c r="C110" s="147"/>
      <c r="D110" s="147"/>
      <c r="E110" s="147"/>
      <c r="F110" s="147"/>
      <c r="G110" s="147"/>
      <c r="H110" s="147"/>
      <c r="I110" s="147"/>
      <c r="J110" s="147"/>
      <c r="K110" s="147"/>
      <c r="L110" s="154"/>
    </row>
    <row r="111" spans="1:12">
      <c r="A111" s="143"/>
      <c r="B111" s="143"/>
      <c r="C111" s="143"/>
      <c r="D111" s="143"/>
      <c r="E111" s="143"/>
      <c r="F111" s="143"/>
      <c r="G111" s="143"/>
      <c r="H111" s="143"/>
      <c r="I111" s="143"/>
      <c r="J111" s="143"/>
      <c r="K111" s="143"/>
      <c r="L111" s="143"/>
    </row>
    <row r="112" spans="1:12">
      <c r="A112" s="146" t="s">
        <v>58</v>
      </c>
      <c r="B112" s="143"/>
      <c r="C112" s="143"/>
      <c r="D112" s="143"/>
      <c r="E112" s="143"/>
      <c r="F112" s="143"/>
      <c r="G112" s="143"/>
      <c r="H112" s="143"/>
      <c r="I112" s="143"/>
      <c r="J112" s="143"/>
      <c r="K112" s="143"/>
      <c r="L112" s="143"/>
    </row>
    <row r="113" spans="1:12">
      <c r="A113" s="146" t="s">
        <v>59</v>
      </c>
      <c r="B113" s="143"/>
      <c r="C113" s="143"/>
      <c r="D113" s="143"/>
      <c r="E113" s="143"/>
      <c r="F113" s="143"/>
      <c r="G113" s="143"/>
      <c r="H113" s="143"/>
      <c r="I113" s="143"/>
      <c r="J113" s="143"/>
      <c r="K113" s="143"/>
      <c r="L113" s="143"/>
    </row>
    <row r="114" spans="1:12">
      <c r="A114" s="143"/>
      <c r="B114" s="143"/>
      <c r="C114" s="143"/>
      <c r="D114" s="143"/>
      <c r="E114" s="143"/>
      <c r="F114" s="143"/>
      <c r="G114" s="143"/>
      <c r="H114" s="143"/>
      <c r="I114" s="143"/>
      <c r="J114" s="143"/>
      <c r="K114" s="143"/>
      <c r="L114" s="143"/>
    </row>
    <row r="115" spans="1:12">
      <c r="A115" s="143" t="s">
        <v>60</v>
      </c>
      <c r="B115" s="143"/>
      <c r="C115" s="143"/>
      <c r="D115" s="143"/>
      <c r="E115" s="143"/>
      <c r="F115" s="143"/>
      <c r="G115" s="143"/>
      <c r="H115" s="143"/>
      <c r="I115" s="143"/>
      <c r="J115" s="143"/>
      <c r="K115" s="143"/>
      <c r="L115" s="143"/>
    </row>
    <row r="116" spans="1:12">
      <c r="A116" s="143" t="s">
        <v>61</v>
      </c>
      <c r="B116" s="143"/>
      <c r="C116" s="143"/>
      <c r="D116" s="143"/>
      <c r="E116" s="143"/>
      <c r="F116" s="143"/>
      <c r="G116" s="143"/>
      <c r="H116" s="143"/>
      <c r="I116" s="143"/>
      <c r="J116" s="143"/>
      <c r="K116" s="143"/>
      <c r="L116" s="143"/>
    </row>
    <row r="117" spans="1:12">
      <c r="A117" s="143"/>
      <c r="B117" s="143"/>
      <c r="C117" s="143"/>
      <c r="D117" s="143"/>
      <c r="E117" s="143"/>
      <c r="F117" s="143"/>
      <c r="G117" s="143"/>
      <c r="H117" s="143"/>
      <c r="I117" s="143"/>
      <c r="J117" s="143"/>
      <c r="K117" s="143"/>
      <c r="L117" s="143"/>
    </row>
    <row r="118" spans="1:12" ht="14.25">
      <c r="A118" s="143"/>
      <c r="B118" s="143"/>
      <c r="C118" s="143"/>
      <c r="D118" s="143"/>
      <c r="E118" s="143"/>
      <c r="F118" s="161" t="s">
        <v>62</v>
      </c>
      <c r="G118" s="143"/>
      <c r="H118" s="143"/>
      <c r="I118" s="143"/>
      <c r="J118" s="143"/>
      <c r="K118" s="143"/>
      <c r="L118" s="143"/>
    </row>
    <row r="119" spans="1:12">
      <c r="A119" s="143"/>
      <c r="B119" s="143"/>
      <c r="C119" s="143"/>
      <c r="D119" s="143"/>
      <c r="E119" s="143"/>
      <c r="F119" s="143" t="s">
        <v>63</v>
      </c>
      <c r="G119" s="143"/>
      <c r="H119" s="143"/>
      <c r="I119" s="143"/>
      <c r="J119" s="143"/>
      <c r="K119" s="143"/>
      <c r="L119" s="143"/>
    </row>
    <row r="120" spans="1:12">
      <c r="A120" s="143"/>
      <c r="B120" s="143"/>
      <c r="C120" s="143"/>
      <c r="D120" s="143"/>
      <c r="E120" s="143"/>
      <c r="F120" s="143" t="s">
        <v>64</v>
      </c>
      <c r="G120" s="143"/>
      <c r="H120" s="143"/>
      <c r="I120" s="143"/>
      <c r="J120" s="143"/>
      <c r="K120" s="143"/>
      <c r="L120" s="143"/>
    </row>
    <row r="121" spans="1:12">
      <c r="A121" s="143"/>
      <c r="B121" s="143"/>
      <c r="C121" s="143"/>
      <c r="D121" s="143"/>
      <c r="E121" s="143"/>
      <c r="F121" s="143" t="s">
        <v>65</v>
      </c>
      <c r="G121" s="143"/>
      <c r="H121" s="143"/>
      <c r="I121" s="143"/>
      <c r="J121" s="143"/>
      <c r="K121" s="143"/>
      <c r="L121" s="143"/>
    </row>
    <row r="122" spans="1:12">
      <c r="A122" s="143"/>
      <c r="B122" s="143"/>
      <c r="C122" s="143"/>
      <c r="D122" s="143"/>
      <c r="E122" s="143"/>
      <c r="F122" s="143" t="s">
        <v>66</v>
      </c>
      <c r="G122" s="143"/>
      <c r="H122" s="143"/>
      <c r="I122" s="143"/>
      <c r="J122" s="143"/>
      <c r="K122" s="143"/>
      <c r="L122" s="143"/>
    </row>
    <row r="123" spans="1:12">
      <c r="A123" s="143"/>
      <c r="B123" s="143"/>
      <c r="C123" s="143"/>
      <c r="D123" s="143"/>
      <c r="E123" s="143"/>
      <c r="F123" s="143"/>
      <c r="G123" s="143"/>
      <c r="H123" s="143"/>
      <c r="I123" s="143"/>
      <c r="J123" s="143"/>
      <c r="K123" s="143"/>
      <c r="L123" s="143"/>
    </row>
    <row r="124" spans="1:12">
      <c r="A124" s="143"/>
      <c r="B124" s="143"/>
      <c r="C124" s="143"/>
      <c r="D124" s="143"/>
      <c r="E124" s="143"/>
      <c r="F124" s="143"/>
      <c r="G124" s="143"/>
      <c r="H124" s="143"/>
      <c r="I124" s="143"/>
      <c r="J124" s="143"/>
      <c r="K124" s="143"/>
      <c r="L124" s="143"/>
    </row>
    <row r="125" spans="1:12">
      <c r="A125" s="143"/>
      <c r="B125" s="143"/>
      <c r="C125" s="143"/>
      <c r="D125" s="143"/>
      <c r="E125" s="143"/>
      <c r="F125" s="143"/>
      <c r="G125" s="143"/>
      <c r="H125" s="143"/>
      <c r="I125" s="143"/>
      <c r="J125" s="143"/>
      <c r="K125" s="143"/>
      <c r="L125" s="143"/>
    </row>
    <row r="126" spans="1:12">
      <c r="A126" s="143"/>
      <c r="B126" s="143"/>
      <c r="C126" s="143"/>
      <c r="D126" s="143"/>
      <c r="E126" s="143"/>
      <c r="F126" s="143"/>
      <c r="G126" s="143"/>
      <c r="H126" s="143"/>
      <c r="I126" s="143"/>
      <c r="J126" s="143"/>
      <c r="K126" s="143"/>
      <c r="L126" s="143"/>
    </row>
    <row r="127" spans="1:12">
      <c r="A127" s="143"/>
      <c r="B127" s="143"/>
      <c r="C127" s="143"/>
      <c r="D127" s="143"/>
      <c r="E127" s="143"/>
      <c r="F127" s="143"/>
      <c r="G127" s="143"/>
      <c r="H127" s="143"/>
      <c r="I127" s="143"/>
      <c r="J127" s="143"/>
      <c r="K127" s="143"/>
      <c r="L127" s="143"/>
    </row>
    <row r="128" spans="1:12">
      <c r="A128" s="143"/>
      <c r="B128" s="143"/>
      <c r="C128" s="143"/>
      <c r="D128" s="143"/>
      <c r="E128" s="143"/>
      <c r="F128" s="143"/>
      <c r="G128" s="143"/>
      <c r="H128" s="143"/>
      <c r="I128" s="143"/>
      <c r="J128" s="143"/>
      <c r="K128" s="143"/>
      <c r="L128" s="143"/>
    </row>
    <row r="129" spans="1:12">
      <c r="A129" s="143"/>
      <c r="B129" s="143"/>
      <c r="C129" s="143"/>
      <c r="D129" s="143"/>
      <c r="E129" s="143"/>
      <c r="F129" s="143"/>
      <c r="G129" s="143"/>
      <c r="H129" s="143"/>
      <c r="I129" s="143"/>
      <c r="J129" s="143"/>
      <c r="K129" s="143"/>
      <c r="L129" s="143"/>
    </row>
    <row r="130" spans="1:12">
      <c r="A130" s="143"/>
      <c r="B130" s="143"/>
      <c r="C130" s="143"/>
      <c r="D130" s="143"/>
      <c r="E130" s="143"/>
      <c r="F130" s="143"/>
      <c r="G130" s="143"/>
      <c r="H130" s="143"/>
      <c r="I130" s="143"/>
      <c r="J130" s="143"/>
      <c r="K130" s="143"/>
      <c r="L130" s="143"/>
    </row>
    <row r="131" spans="1:12">
      <c r="A131" s="143"/>
      <c r="B131" s="143"/>
      <c r="C131" s="143"/>
      <c r="D131" s="143"/>
      <c r="E131" s="143"/>
      <c r="F131" s="143"/>
      <c r="G131" s="143"/>
      <c r="H131" s="143"/>
      <c r="I131" s="143"/>
      <c r="J131" s="143"/>
      <c r="K131" s="143"/>
      <c r="L131" s="143"/>
    </row>
    <row r="132" spans="1:12">
      <c r="A132" s="143"/>
      <c r="B132" s="143"/>
      <c r="C132" s="143"/>
      <c r="D132" s="143"/>
      <c r="E132" s="143"/>
      <c r="F132" s="143"/>
      <c r="G132" s="143"/>
      <c r="H132" s="143"/>
      <c r="I132" s="143"/>
      <c r="J132" s="143"/>
      <c r="K132" s="143"/>
      <c r="L132" s="143"/>
    </row>
    <row r="133" spans="1:12">
      <c r="A133" s="143"/>
      <c r="B133" s="143"/>
      <c r="C133" s="143"/>
      <c r="D133" s="143"/>
      <c r="E133" s="143"/>
      <c r="F133" s="143"/>
      <c r="G133" s="143"/>
      <c r="H133" s="143"/>
      <c r="I133" s="143"/>
      <c r="J133" s="143"/>
      <c r="K133" s="143"/>
      <c r="L133" s="143"/>
    </row>
    <row r="134" spans="1:12">
      <c r="A134" s="143"/>
      <c r="B134" s="143"/>
      <c r="C134" s="143"/>
      <c r="D134" s="143"/>
      <c r="E134" s="143"/>
      <c r="F134" s="143"/>
      <c r="G134" s="143"/>
      <c r="H134" s="143"/>
      <c r="I134" s="143"/>
      <c r="J134" s="143"/>
      <c r="K134" s="143"/>
      <c r="L134" s="143"/>
    </row>
    <row r="135" spans="1:12">
      <c r="A135" s="143"/>
      <c r="B135" s="143"/>
      <c r="C135" s="143"/>
      <c r="D135" s="143"/>
      <c r="E135" s="143"/>
      <c r="F135" s="143"/>
      <c r="G135" s="143"/>
      <c r="H135" s="143"/>
      <c r="I135" s="143"/>
      <c r="J135" s="143"/>
      <c r="K135" s="143"/>
      <c r="L135" s="143"/>
    </row>
    <row r="136" spans="1:12">
      <c r="A136" s="143"/>
      <c r="B136" s="143"/>
      <c r="C136" s="143"/>
      <c r="D136" s="143"/>
      <c r="E136" s="143"/>
      <c r="F136" s="143"/>
      <c r="G136" s="143"/>
      <c r="H136" s="143"/>
      <c r="I136" s="143"/>
      <c r="J136" s="143"/>
      <c r="K136" s="143"/>
      <c r="L136" s="143"/>
    </row>
    <row r="137" spans="1:12">
      <c r="A137" s="143"/>
      <c r="B137" s="143"/>
      <c r="C137" s="143"/>
      <c r="D137" s="143"/>
      <c r="E137" s="143"/>
      <c r="F137" s="143"/>
      <c r="G137" s="143"/>
      <c r="H137" s="143"/>
      <c r="I137" s="143"/>
      <c r="J137" s="143"/>
      <c r="K137" s="143"/>
      <c r="L137" s="143"/>
    </row>
    <row r="138" spans="1:12">
      <c r="A138" s="143"/>
      <c r="B138" s="143"/>
      <c r="C138" s="143"/>
      <c r="D138" s="143"/>
      <c r="E138" s="143"/>
      <c r="F138" s="143"/>
      <c r="G138" s="143"/>
      <c r="H138" s="143"/>
      <c r="I138" s="143"/>
      <c r="J138" s="143"/>
      <c r="K138" s="143"/>
      <c r="L138" s="143"/>
    </row>
    <row r="139" spans="1:12">
      <c r="A139" s="143"/>
      <c r="B139" s="143"/>
      <c r="C139" s="143"/>
      <c r="D139" s="143"/>
      <c r="E139" s="143"/>
      <c r="F139" s="143"/>
      <c r="G139" s="143"/>
      <c r="H139" s="143"/>
      <c r="I139" s="143"/>
      <c r="J139" s="143"/>
      <c r="K139" s="143"/>
      <c r="L139" s="143"/>
    </row>
    <row r="140" spans="1:12">
      <c r="A140" s="143"/>
      <c r="B140" s="143"/>
      <c r="C140" s="143"/>
      <c r="D140" s="143"/>
      <c r="E140" s="143"/>
      <c r="F140" s="143"/>
      <c r="G140" s="143"/>
      <c r="H140" s="143"/>
      <c r="I140" s="143"/>
      <c r="J140" s="143"/>
      <c r="K140" s="143"/>
      <c r="L140" s="143"/>
    </row>
    <row r="141" spans="1:12">
      <c r="A141" s="143"/>
      <c r="B141" s="143"/>
      <c r="C141" s="143"/>
      <c r="D141" s="143"/>
      <c r="E141" s="143"/>
      <c r="F141" s="143" t="s">
        <v>67</v>
      </c>
      <c r="G141" s="143"/>
      <c r="H141" s="143"/>
      <c r="I141" s="143"/>
      <c r="J141" s="143"/>
      <c r="K141" s="143"/>
      <c r="L141" s="143"/>
    </row>
    <row r="142" spans="1:12">
      <c r="A142" s="143"/>
      <c r="B142" s="143"/>
      <c r="C142" s="143"/>
      <c r="D142" s="143"/>
      <c r="E142" s="143"/>
      <c r="F142" s="143" t="s">
        <v>68</v>
      </c>
      <c r="G142" s="143"/>
      <c r="H142" s="143"/>
      <c r="I142" s="143"/>
      <c r="J142" s="143"/>
      <c r="K142" s="143"/>
      <c r="L142" s="143"/>
    </row>
    <row r="143" spans="1:12">
      <c r="A143" s="143"/>
      <c r="B143" s="143"/>
      <c r="C143" s="143"/>
      <c r="D143" s="143"/>
      <c r="E143" s="143"/>
      <c r="F143" s="143" t="s">
        <v>69</v>
      </c>
      <c r="G143" s="143"/>
      <c r="H143" s="143"/>
      <c r="I143" s="143"/>
      <c r="J143" s="143"/>
      <c r="K143" s="143"/>
      <c r="L143" s="143"/>
    </row>
    <row r="144" spans="1:12">
      <c r="A144" s="143"/>
      <c r="B144" s="143"/>
      <c r="C144" s="143"/>
      <c r="D144" s="143"/>
      <c r="E144" s="143"/>
      <c r="F144" s="143" t="s">
        <v>70</v>
      </c>
      <c r="G144" s="143"/>
      <c r="H144" s="143"/>
      <c r="I144" s="143"/>
      <c r="J144" s="143"/>
      <c r="K144" s="143"/>
      <c r="L144" s="143"/>
    </row>
    <row r="145" spans="1:12">
      <c r="A145" s="143"/>
      <c r="B145" s="143"/>
      <c r="C145" s="143"/>
      <c r="D145" s="143"/>
      <c r="E145" s="143"/>
      <c r="F145" s="143"/>
      <c r="G145" s="143"/>
      <c r="H145" s="143"/>
      <c r="I145" s="143"/>
      <c r="J145" s="143"/>
      <c r="K145" s="143"/>
      <c r="L145" s="143"/>
    </row>
    <row r="146" spans="1:12">
      <c r="A146" s="143" t="s">
        <v>71</v>
      </c>
      <c r="B146" s="143"/>
      <c r="C146" s="143"/>
      <c r="D146" s="143"/>
      <c r="E146" s="143"/>
      <c r="F146" s="143"/>
      <c r="G146" s="143"/>
      <c r="H146" s="143"/>
      <c r="I146" s="143"/>
      <c r="J146" s="143"/>
      <c r="K146" s="143"/>
      <c r="L146" s="143"/>
    </row>
    <row r="147" spans="1:12">
      <c r="A147" s="143" t="s">
        <v>72</v>
      </c>
      <c r="B147" s="143"/>
      <c r="C147" s="143"/>
      <c r="D147" s="143"/>
      <c r="E147" s="143"/>
      <c r="F147" s="143"/>
      <c r="G147" s="143"/>
      <c r="H147" s="143"/>
      <c r="I147" s="143"/>
      <c r="J147" s="143"/>
      <c r="K147" s="143"/>
      <c r="L147" s="143"/>
    </row>
    <row r="148" spans="1:12">
      <c r="A148" s="143"/>
      <c r="B148" s="143"/>
      <c r="C148" s="143"/>
      <c r="D148" s="143"/>
      <c r="E148" s="143"/>
      <c r="F148" s="143"/>
      <c r="G148" s="143"/>
      <c r="H148" s="143"/>
      <c r="I148" s="143"/>
      <c r="J148" s="143"/>
      <c r="K148" s="143"/>
      <c r="L148" s="143"/>
    </row>
    <row r="149" spans="1:12">
      <c r="A149" s="143"/>
      <c r="B149" s="143"/>
      <c r="C149" s="143"/>
      <c r="D149" s="143"/>
      <c r="E149" s="143"/>
      <c r="F149" s="143"/>
      <c r="G149" s="143"/>
      <c r="H149" s="143"/>
      <c r="I149" s="143"/>
      <c r="J149" s="143"/>
      <c r="K149" s="143"/>
      <c r="L149" s="143"/>
    </row>
    <row r="150" spans="1:12">
      <c r="A150" s="143"/>
      <c r="B150" s="143"/>
      <c r="C150" s="143"/>
      <c r="D150" s="143"/>
      <c r="E150" s="143"/>
      <c r="F150" s="143"/>
      <c r="G150" s="143"/>
      <c r="H150" s="143"/>
      <c r="I150" s="143"/>
      <c r="J150" s="143"/>
      <c r="K150" s="143"/>
      <c r="L150" s="143"/>
    </row>
    <row r="151" spans="1:12">
      <c r="A151" s="143"/>
      <c r="B151" s="143"/>
      <c r="C151" s="143"/>
      <c r="D151" s="143"/>
      <c r="E151" s="143"/>
      <c r="F151" s="143"/>
      <c r="G151" s="143"/>
      <c r="H151" s="143"/>
      <c r="I151" s="143"/>
      <c r="J151" s="143"/>
      <c r="K151" s="143"/>
      <c r="L151" s="143"/>
    </row>
    <row r="152" spans="1:12">
      <c r="A152" s="143" t="s">
        <v>73</v>
      </c>
      <c r="B152" s="143"/>
      <c r="C152" s="143"/>
      <c r="D152" s="143"/>
      <c r="E152" s="143"/>
      <c r="F152" s="143"/>
      <c r="G152" s="143"/>
      <c r="H152" s="143"/>
      <c r="I152" s="143"/>
      <c r="J152" s="143"/>
      <c r="K152" s="143"/>
      <c r="L152" s="143"/>
    </row>
    <row r="153" spans="1:12">
      <c r="A153" s="143"/>
      <c r="B153" s="143"/>
      <c r="C153" s="143"/>
      <c r="D153" s="143"/>
      <c r="E153" s="143"/>
      <c r="F153" s="143"/>
      <c r="G153" s="143"/>
      <c r="H153" s="143"/>
      <c r="I153" s="143"/>
      <c r="J153" s="143"/>
      <c r="K153" s="143"/>
      <c r="L153" s="143"/>
    </row>
    <row r="154" spans="1:12">
      <c r="A154" s="143"/>
      <c r="B154" s="143"/>
      <c r="C154" s="143"/>
      <c r="D154" s="143"/>
      <c r="E154" s="143"/>
      <c r="F154" s="143"/>
      <c r="G154" s="143"/>
      <c r="H154" s="143"/>
      <c r="I154" s="143"/>
      <c r="J154" s="143"/>
      <c r="K154" s="143"/>
      <c r="L154" s="143"/>
    </row>
    <row r="155" spans="1:12">
      <c r="A155" s="143"/>
      <c r="B155" s="143"/>
      <c r="C155" s="143"/>
      <c r="D155" s="143"/>
      <c r="E155" s="143"/>
      <c r="F155" s="143"/>
      <c r="G155" s="143"/>
      <c r="H155" s="143"/>
      <c r="I155" s="143"/>
      <c r="J155" s="143"/>
      <c r="K155" s="143"/>
      <c r="L155" s="143"/>
    </row>
    <row r="156" spans="1:12" ht="13.5" thickBot="1">
      <c r="A156" s="143"/>
      <c r="B156" s="143"/>
      <c r="C156" s="143"/>
      <c r="D156" s="143"/>
      <c r="E156" s="143"/>
      <c r="F156" s="143"/>
      <c r="G156" s="143"/>
      <c r="H156" s="143"/>
      <c r="I156" s="143"/>
      <c r="J156" s="143"/>
      <c r="K156" s="143"/>
      <c r="L156" s="143"/>
    </row>
    <row r="157" spans="1:12" ht="13.5" thickBot="1">
      <c r="A157" s="148" t="s">
        <v>44</v>
      </c>
      <c r="B157" s="149" t="s">
        <v>74</v>
      </c>
      <c r="C157" s="150"/>
      <c r="D157" s="150"/>
      <c r="E157" s="150"/>
      <c r="F157" s="151" t="s">
        <v>46</v>
      </c>
      <c r="G157" s="130" t="s">
        <v>47</v>
      </c>
      <c r="H157" s="130"/>
      <c r="I157" s="148" t="s">
        <v>48</v>
      </c>
      <c r="J157" s="149">
        <v>2</v>
      </c>
      <c r="K157" s="152" t="s">
        <v>49</v>
      </c>
      <c r="L157" s="153">
        <v>2</v>
      </c>
    </row>
    <row r="158" spans="1:12" ht="13.5" thickBot="1">
      <c r="A158" s="148" t="s">
        <v>50</v>
      </c>
      <c r="B158" s="149" t="s">
        <v>51</v>
      </c>
      <c r="C158" s="150"/>
      <c r="D158" s="150"/>
      <c r="E158" s="153"/>
      <c r="F158" s="148" t="s">
        <v>52</v>
      </c>
      <c r="G158" s="149"/>
      <c r="H158" s="150"/>
      <c r="I158" s="150"/>
      <c r="J158" s="147"/>
      <c r="K158" s="147"/>
      <c r="L158" s="154"/>
    </row>
    <row r="159" spans="1:12" ht="13.5" thickBot="1">
      <c r="A159" s="148" t="s">
        <v>53</v>
      </c>
      <c r="B159" s="149" t="s">
        <v>75</v>
      </c>
      <c r="C159" s="150"/>
      <c r="D159" s="150"/>
      <c r="E159" s="153"/>
      <c r="F159" s="148" t="s">
        <v>55</v>
      </c>
      <c r="G159" s="149"/>
      <c r="H159" s="150"/>
      <c r="I159" s="150"/>
      <c r="J159" s="150"/>
      <c r="K159" s="150"/>
      <c r="L159" s="153"/>
    </row>
    <row r="160" spans="1:12">
      <c r="A160" s="308" t="s">
        <v>56</v>
      </c>
      <c r="B160" s="156" t="s">
        <v>57</v>
      </c>
      <c r="C160" s="130"/>
      <c r="D160" s="130"/>
      <c r="E160" s="130"/>
      <c r="F160" s="130"/>
      <c r="G160" s="130"/>
      <c r="H160" s="130"/>
      <c r="I160" s="130"/>
      <c r="J160" s="130"/>
      <c r="K160" s="130"/>
      <c r="L160" s="157"/>
    </row>
    <row r="161" spans="1:12">
      <c r="A161" s="308"/>
      <c r="B161" s="158"/>
      <c r="C161" s="143"/>
      <c r="D161" s="143"/>
      <c r="E161" s="143"/>
      <c r="F161" s="143"/>
      <c r="G161" s="143"/>
      <c r="H161" s="143"/>
      <c r="I161" s="143"/>
      <c r="J161" s="143"/>
      <c r="K161" s="143"/>
      <c r="L161" s="159"/>
    </row>
    <row r="162" spans="1:12" ht="13.5" thickBot="1">
      <c r="A162" s="308"/>
      <c r="B162" s="160"/>
      <c r="C162" s="147"/>
      <c r="D162" s="147"/>
      <c r="E162" s="147"/>
      <c r="F162" s="147"/>
      <c r="G162" s="147"/>
      <c r="H162" s="147"/>
      <c r="I162" s="147"/>
      <c r="J162" s="147"/>
      <c r="K162" s="147"/>
      <c r="L162" s="154"/>
    </row>
    <row r="163" spans="1:12">
      <c r="A163" s="143"/>
      <c r="B163" s="143"/>
      <c r="C163" s="143"/>
      <c r="D163" s="143"/>
      <c r="E163" s="143"/>
      <c r="F163" s="143"/>
      <c r="G163" s="143"/>
      <c r="H163" s="143"/>
      <c r="I163" s="143"/>
      <c r="J163" s="143"/>
      <c r="K163" s="143"/>
      <c r="L163" s="143"/>
    </row>
    <row r="164" spans="1:12" ht="13.5" thickBot="1">
      <c r="A164" s="146" t="s">
        <v>76</v>
      </c>
      <c r="B164" s="143"/>
      <c r="C164" s="143"/>
      <c r="D164" s="143"/>
      <c r="E164" s="143"/>
      <c r="F164" s="143"/>
      <c r="G164" s="143"/>
      <c r="H164" s="143"/>
      <c r="I164" s="143"/>
      <c r="J164" s="143"/>
      <c r="K164" s="143"/>
      <c r="L164" s="143"/>
    </row>
    <row r="165" spans="1:12" ht="13.5" thickBot="1">
      <c r="A165" s="162" t="s">
        <v>77</v>
      </c>
      <c r="B165" s="163">
        <v>-0.12</v>
      </c>
      <c r="C165" s="143"/>
      <c r="D165" s="143"/>
      <c r="E165" s="143"/>
      <c r="F165" s="143"/>
      <c r="G165" s="143"/>
      <c r="H165" s="143"/>
      <c r="I165" s="143"/>
      <c r="J165" s="143"/>
      <c r="K165" s="143"/>
      <c r="L165" s="143"/>
    </row>
    <row r="166" spans="1:12" ht="13.5" thickBot="1">
      <c r="A166" s="139" t="s">
        <v>78</v>
      </c>
      <c r="B166" s="140" t="s">
        <v>79</v>
      </c>
      <c r="C166" s="141" t="s">
        <v>80</v>
      </c>
      <c r="D166" s="143"/>
      <c r="E166" s="143"/>
      <c r="F166" s="143"/>
      <c r="G166" s="143"/>
      <c r="H166" s="143"/>
      <c r="I166" s="143"/>
      <c r="J166" s="143"/>
      <c r="K166" s="143"/>
      <c r="L166" s="143"/>
    </row>
    <row r="167" spans="1:12">
      <c r="A167" s="133">
        <v>0.5</v>
      </c>
      <c r="B167" s="134">
        <f>2/(1.4*A167^2)*(((1+((1.4-1)/2)*A167^2)/(1+(1.4-1)/2))^(1.4/(1.4-1))-1)</f>
        <v>-2.133402668349714</v>
      </c>
      <c r="C167" s="135">
        <f>$B$165/(SQRT(1-A167^2))</f>
        <v>-0.13856406460551018</v>
      </c>
      <c r="D167" s="143"/>
      <c r="E167" s="143"/>
      <c r="F167" s="143"/>
      <c r="G167" s="143"/>
      <c r="H167" s="143"/>
      <c r="I167" s="143"/>
      <c r="J167" s="143"/>
      <c r="K167" s="143"/>
      <c r="L167" s="143"/>
    </row>
    <row r="168" spans="1:12">
      <c r="A168" s="133">
        <f>A167+0.025</f>
        <v>0.52500000000000002</v>
      </c>
      <c r="B168" s="134">
        <f t="shared" ref="B168:B187" si="0">2/(1.4*A168^2)*(((1+((1.4-1)/2)*A168^2)/(1+(1.4-1)/2))^(1.4/(1.4-1))-1)</f>
        <v>-1.8792336576441555</v>
      </c>
      <c r="C168" s="135">
        <f t="shared" ref="C168:C186" si="1">$B$165/(SQRT(1-A168^2))</f>
        <v>-0.14099363890705119</v>
      </c>
      <c r="D168" s="143"/>
      <c r="E168" s="143"/>
      <c r="F168" s="143"/>
      <c r="G168" s="143"/>
      <c r="H168" s="143"/>
      <c r="I168" s="143"/>
      <c r="J168" s="143"/>
      <c r="K168" s="143"/>
      <c r="L168" s="143"/>
    </row>
    <row r="169" spans="1:12">
      <c r="A169" s="133">
        <f t="shared" ref="A169:A187" si="2">A168+0.025</f>
        <v>0.55000000000000004</v>
      </c>
      <c r="B169" s="134">
        <f t="shared" si="0"/>
        <v>-1.6582622168975083</v>
      </c>
      <c r="C169" s="135">
        <f t="shared" si="1"/>
        <v>-0.14368424162141991</v>
      </c>
      <c r="D169" s="143"/>
      <c r="E169" s="143"/>
      <c r="F169" s="143"/>
      <c r="G169" s="143"/>
      <c r="H169" s="143"/>
      <c r="I169" s="143"/>
      <c r="J169" s="143"/>
      <c r="K169" s="143"/>
      <c r="L169" s="143"/>
    </row>
    <row r="170" spans="1:12">
      <c r="A170" s="133">
        <f t="shared" si="2"/>
        <v>0.57500000000000007</v>
      </c>
      <c r="B170" s="134">
        <f t="shared" si="0"/>
        <v>-1.464806802032955</v>
      </c>
      <c r="C170" s="135">
        <f t="shared" si="1"/>
        <v>-0.14667175952451381</v>
      </c>
      <c r="D170" s="143"/>
      <c r="E170" s="143"/>
      <c r="F170" s="143"/>
      <c r="G170" s="143"/>
      <c r="H170" s="143"/>
      <c r="I170" s="143"/>
      <c r="J170" s="143"/>
      <c r="K170" s="143"/>
      <c r="L170" s="143"/>
    </row>
    <row r="171" spans="1:12">
      <c r="A171" s="133">
        <f t="shared" si="2"/>
        <v>0.60000000000000009</v>
      </c>
      <c r="B171" s="134">
        <f t="shared" si="0"/>
        <v>-1.2943435904552825</v>
      </c>
      <c r="C171" s="135">
        <f t="shared" si="1"/>
        <v>-0.15</v>
      </c>
      <c r="D171" s="143"/>
      <c r="E171" s="143"/>
      <c r="F171" s="143"/>
      <c r="G171" s="143"/>
      <c r="H171" s="143"/>
      <c r="I171" s="143"/>
      <c r="J171" s="143"/>
      <c r="K171" s="143"/>
      <c r="L171" s="143"/>
    </row>
    <row r="172" spans="1:12">
      <c r="A172" s="133">
        <f t="shared" si="2"/>
        <v>0.62500000000000011</v>
      </c>
      <c r="B172" s="134">
        <f t="shared" si="0"/>
        <v>-1.1432343202924669</v>
      </c>
      <c r="C172" s="135">
        <f t="shared" si="1"/>
        <v>-0.15372302765288365</v>
      </c>
      <c r="D172" s="143"/>
      <c r="E172" s="143"/>
      <c r="F172" s="143"/>
      <c r="G172" s="143"/>
      <c r="H172" s="143"/>
      <c r="I172" s="143"/>
      <c r="J172" s="143"/>
      <c r="K172" s="143"/>
      <c r="L172" s="143"/>
    </row>
    <row r="173" spans="1:12">
      <c r="A173" s="133">
        <f t="shared" si="2"/>
        <v>0.65000000000000013</v>
      </c>
      <c r="B173" s="134">
        <f t="shared" si="0"/>
        <v>-1.0085259417860786</v>
      </c>
      <c r="C173" s="135">
        <f t="shared" si="1"/>
        <v>-0.15790840679034457</v>
      </c>
      <c r="D173" s="143"/>
      <c r="E173" s="143"/>
      <c r="F173" s="143"/>
      <c r="G173" s="143"/>
      <c r="H173" s="143"/>
      <c r="I173" s="143"/>
      <c r="J173" s="143"/>
      <c r="K173" s="143"/>
      <c r="L173" s="143"/>
    </row>
    <row r="174" spans="1:12">
      <c r="A174" s="133">
        <f t="shared" si="2"/>
        <v>0.67500000000000016</v>
      </c>
      <c r="B174" s="134">
        <f t="shared" si="0"/>
        <v>-0.88780121440446147</v>
      </c>
      <c r="C174" s="135">
        <f t="shared" si="1"/>
        <v>-0.16264179541720736</v>
      </c>
      <c r="D174" s="143"/>
      <c r="E174" s="143"/>
      <c r="F174" s="143"/>
      <c r="G174" s="143"/>
      <c r="H174" s="143"/>
      <c r="I174" s="143"/>
      <c r="J174" s="143"/>
      <c r="K174" s="143"/>
      <c r="L174" s="143"/>
    </row>
    <row r="175" spans="1:12">
      <c r="A175" s="133">
        <f t="shared" si="2"/>
        <v>0.70000000000000018</v>
      </c>
      <c r="B175" s="134">
        <f t="shared" si="0"/>
        <v>-0.77906596455962962</v>
      </c>
      <c r="C175" s="135">
        <f t="shared" si="1"/>
        <v>-0.16803361008336121</v>
      </c>
      <c r="D175" s="143"/>
      <c r="E175" s="143"/>
      <c r="F175" s="143"/>
      <c r="G175" s="143"/>
      <c r="H175" s="143"/>
      <c r="I175" s="143"/>
      <c r="J175" s="143"/>
      <c r="K175" s="143"/>
      <c r="L175" s="143"/>
    </row>
    <row r="176" spans="1:12">
      <c r="A176" s="133">
        <f t="shared" si="2"/>
        <v>0.7250000000000002</v>
      </c>
      <c r="B176" s="134">
        <f t="shared" si="0"/>
        <v>-0.68066307202112553</v>
      </c>
      <c r="C176" s="135">
        <f t="shared" si="1"/>
        <v>-0.17422896207375071</v>
      </c>
      <c r="D176" s="143"/>
      <c r="E176" s="143"/>
      <c r="F176" s="143"/>
      <c r="G176" s="143"/>
      <c r="H176" s="143"/>
      <c r="I176" s="143"/>
      <c r="J176" s="143"/>
      <c r="K176" s="143"/>
      <c r="L176" s="143"/>
    </row>
    <row r="177" spans="1:12">
      <c r="A177" s="133">
        <f t="shared" si="2"/>
        <v>0.75000000000000022</v>
      </c>
      <c r="B177" s="134">
        <f t="shared" si="0"/>
        <v>-0.59120618074665254</v>
      </c>
      <c r="C177" s="135">
        <f t="shared" si="1"/>
        <v>-0.18142294704442916</v>
      </c>
      <c r="D177" s="143"/>
      <c r="E177" s="143"/>
      <c r="F177" s="143"/>
      <c r="G177" s="143"/>
      <c r="H177" s="143"/>
      <c r="I177" s="143"/>
      <c r="J177" s="143"/>
      <c r="K177" s="143"/>
      <c r="L177" s="143"/>
    </row>
    <row r="178" spans="1:12">
      <c r="A178" s="133">
        <f t="shared" si="2"/>
        <v>0.77500000000000024</v>
      </c>
      <c r="B178" s="134">
        <f t="shared" si="0"/>
        <v>-0.50952812909954748</v>
      </c>
      <c r="C178" s="135">
        <f t="shared" si="1"/>
        <v>-0.18988506531101662</v>
      </c>
      <c r="D178" s="143"/>
      <c r="E178" s="143"/>
      <c r="F178" s="143"/>
      <c r="G178" s="143"/>
      <c r="H178" s="143"/>
      <c r="I178" s="143"/>
      <c r="J178" s="143"/>
      <c r="K178" s="143"/>
      <c r="L178" s="143"/>
    </row>
    <row r="179" spans="1:12">
      <c r="A179" s="133">
        <f t="shared" si="2"/>
        <v>0.80000000000000027</v>
      </c>
      <c r="B179" s="134">
        <f t="shared" si="0"/>
        <v>-0.43464047915522891</v>
      </c>
      <c r="C179" s="135">
        <f t="shared" si="1"/>
        <v>-0.20000000000000012</v>
      </c>
      <c r="D179" s="143"/>
      <c r="E179" s="143"/>
      <c r="F179" s="143"/>
      <c r="G179" s="143"/>
      <c r="H179" s="143"/>
      <c r="I179" s="143"/>
      <c r="J179" s="143"/>
      <c r="K179" s="143"/>
      <c r="L179" s="143"/>
    </row>
    <row r="180" spans="1:12">
      <c r="A180" s="133">
        <f t="shared" si="2"/>
        <v>0.82500000000000029</v>
      </c>
      <c r="B180" s="134">
        <f t="shared" si="0"/>
        <v>-0.36570149657757012</v>
      </c>
      <c r="C180" s="135">
        <f t="shared" si="1"/>
        <v>-0.21233949849782838</v>
      </c>
      <c r="D180" s="143"/>
      <c r="E180" s="143"/>
      <c r="F180" s="143"/>
      <c r="G180" s="143"/>
      <c r="H180" s="143"/>
      <c r="I180" s="143"/>
      <c r="J180" s="143"/>
      <c r="K180" s="143"/>
      <c r="L180" s="143"/>
    </row>
    <row r="181" spans="1:12">
      <c r="A181" s="133">
        <f t="shared" si="2"/>
        <v>0.85000000000000031</v>
      </c>
      <c r="B181" s="134">
        <f t="shared" si="0"/>
        <v>-0.30199062290533707</v>
      </c>
      <c r="C181" s="135">
        <f t="shared" si="1"/>
        <v>-0.22779791898059995</v>
      </c>
      <c r="D181" s="143"/>
      <c r="E181" s="143"/>
      <c r="F181" s="143"/>
      <c r="G181" s="143"/>
      <c r="H181" s="143"/>
      <c r="I181" s="143"/>
      <c r="J181" s="143"/>
      <c r="K181" s="143"/>
      <c r="L181" s="143"/>
    </row>
    <row r="182" spans="1:12">
      <c r="A182" s="133">
        <f t="shared" si="2"/>
        <v>0.87500000000000033</v>
      </c>
      <c r="B182" s="134">
        <f t="shared" si="0"/>
        <v>-0.24288797814629501</v>
      </c>
      <c r="C182" s="135">
        <f t="shared" si="1"/>
        <v>-0.24787093415727499</v>
      </c>
      <c r="D182" s="143"/>
      <c r="E182" s="143"/>
      <c r="F182" s="143"/>
      <c r="G182" s="143"/>
      <c r="H182" s="143"/>
      <c r="I182" s="143"/>
      <c r="J182" s="143"/>
      <c r="K182" s="143"/>
      <c r="L182" s="143"/>
    </row>
    <row r="183" spans="1:12">
      <c r="A183" s="133">
        <f t="shared" si="2"/>
        <v>0.90000000000000036</v>
      </c>
      <c r="B183" s="134">
        <f t="shared" si="0"/>
        <v>-0.18785779183683954</v>
      </c>
      <c r="C183" s="135">
        <f t="shared" si="1"/>
        <v>-0.27529888064467456</v>
      </c>
      <c r="D183" s="143"/>
      <c r="E183" s="143"/>
      <c r="F183" s="143"/>
      <c r="G183" s="143"/>
      <c r="H183" s="143"/>
      <c r="I183" s="143"/>
      <c r="J183" s="143"/>
      <c r="K183" s="143"/>
      <c r="L183" s="143"/>
    </row>
    <row r="184" spans="1:12">
      <c r="A184" s="133">
        <f t="shared" si="2"/>
        <v>0.92500000000000038</v>
      </c>
      <c r="B184" s="134">
        <f t="shared" si="0"/>
        <v>-0.13643492498851681</v>
      </c>
      <c r="C184" s="135">
        <f t="shared" si="1"/>
        <v>-0.31581681358068991</v>
      </c>
      <c r="D184" s="143"/>
      <c r="E184" s="143"/>
      <c r="F184" s="143"/>
      <c r="G184" s="143"/>
      <c r="H184" s="143"/>
      <c r="I184" s="143"/>
      <c r="J184" s="143"/>
      <c r="K184" s="143"/>
      <c r="L184" s="143"/>
    </row>
    <row r="185" spans="1:12">
      <c r="A185" s="133">
        <f t="shared" si="2"/>
        <v>0.9500000000000004</v>
      </c>
      <c r="B185" s="134">
        <f t="shared" si="0"/>
        <v>-8.8213841015504529E-2</v>
      </c>
      <c r="C185" s="135">
        <f t="shared" si="1"/>
        <v>-0.38430756913221059</v>
      </c>
      <c r="D185" s="143"/>
      <c r="E185" s="143"/>
      <c r="F185" s="143"/>
      <c r="G185" s="143"/>
      <c r="H185" s="143"/>
      <c r="I185" s="143"/>
      <c r="J185" s="143"/>
      <c r="K185" s="143"/>
      <c r="L185" s="143"/>
    </row>
    <row r="186" spans="1:12">
      <c r="A186" s="133">
        <f t="shared" si="2"/>
        <v>0.97500000000000042</v>
      </c>
      <c r="B186" s="134">
        <f t="shared" si="0"/>
        <v>-4.2839529905831897E-2</v>
      </c>
      <c r="C186" s="135">
        <f t="shared" si="1"/>
        <v>-0.54004219244449603</v>
      </c>
      <c r="D186" s="143"/>
      <c r="E186" s="143"/>
      <c r="F186" s="143"/>
      <c r="G186" s="143"/>
      <c r="H186" s="143"/>
      <c r="I186" s="143"/>
      <c r="J186" s="143"/>
      <c r="K186" s="143"/>
      <c r="L186" s="143"/>
    </row>
    <row r="187" spans="1:12" ht="13.5" thickBot="1">
      <c r="A187" s="136">
        <f t="shared" si="2"/>
        <v>1.0000000000000004</v>
      </c>
      <c r="B187" s="137">
        <f t="shared" si="0"/>
        <v>1.2688263138573206E-15</v>
      </c>
      <c r="C187" s="138">
        <v>-2.13</v>
      </c>
      <c r="D187" s="143"/>
      <c r="E187" s="143"/>
      <c r="F187" s="143"/>
      <c r="G187" s="143"/>
      <c r="H187" s="143"/>
      <c r="I187" s="143"/>
      <c r="J187" s="143"/>
      <c r="K187" s="143"/>
      <c r="L187" s="143"/>
    </row>
    <row r="188" spans="1:12">
      <c r="A188" s="142"/>
      <c r="B188" s="142"/>
      <c r="C188" s="164"/>
      <c r="D188" s="143"/>
      <c r="E188" s="143"/>
      <c r="F188" s="143"/>
      <c r="G188" s="143"/>
      <c r="H188" s="143"/>
      <c r="I188" s="143"/>
      <c r="J188" s="143"/>
      <c r="K188" s="143"/>
      <c r="L188" s="143"/>
    </row>
    <row r="189" spans="1:12">
      <c r="A189" s="142" t="s">
        <v>81</v>
      </c>
      <c r="B189" s="142"/>
      <c r="C189" s="164"/>
      <c r="D189" s="143"/>
      <c r="E189" s="143"/>
      <c r="F189" s="143"/>
      <c r="G189" s="143"/>
      <c r="H189" s="143"/>
      <c r="I189" s="143"/>
      <c r="J189" s="143"/>
      <c r="K189" s="143"/>
      <c r="L189" s="143"/>
    </row>
    <row r="190" spans="1:12">
      <c r="A190" s="142" t="s">
        <v>82</v>
      </c>
      <c r="B190" s="142"/>
      <c r="C190" s="164"/>
      <c r="D190" s="143"/>
      <c r="E190" s="143"/>
      <c r="F190" s="143"/>
      <c r="G190" s="143"/>
      <c r="H190" s="143"/>
      <c r="I190" s="143"/>
      <c r="J190" s="143"/>
      <c r="K190" s="143"/>
      <c r="L190" s="143"/>
    </row>
    <row r="191" spans="1:12">
      <c r="A191" s="142" t="s">
        <v>83</v>
      </c>
      <c r="B191" s="142"/>
      <c r="C191" s="164"/>
      <c r="D191" s="143"/>
      <c r="E191" s="143"/>
      <c r="F191" s="143"/>
      <c r="G191" s="143"/>
      <c r="H191" s="143"/>
      <c r="I191" s="143"/>
      <c r="J191" s="143"/>
      <c r="K191" s="143"/>
      <c r="L191" s="143"/>
    </row>
    <row r="192" spans="1:12">
      <c r="A192" s="142"/>
      <c r="B192" s="142"/>
      <c r="C192" s="164"/>
      <c r="D192" s="143"/>
      <c r="E192" s="143"/>
      <c r="F192" s="143"/>
      <c r="G192" s="143"/>
      <c r="H192" s="143"/>
      <c r="I192" s="143"/>
      <c r="J192" s="143"/>
      <c r="K192" s="143"/>
      <c r="L192" s="143"/>
    </row>
    <row r="193" spans="1:12">
      <c r="A193" s="143" t="s">
        <v>84</v>
      </c>
      <c r="B193" s="143">
        <v>1</v>
      </c>
      <c r="C193" s="143"/>
      <c r="D193" s="143"/>
      <c r="E193" s="143"/>
      <c r="F193" s="143"/>
      <c r="G193" s="143"/>
      <c r="H193" s="143"/>
      <c r="I193" s="143"/>
      <c r="J193" s="143"/>
      <c r="K193" s="143"/>
      <c r="L193" s="143"/>
    </row>
    <row r="194" spans="1:12">
      <c r="A194" s="142" t="s">
        <v>85</v>
      </c>
      <c r="B194" s="142" t="s">
        <v>84</v>
      </c>
      <c r="C194" s="164" t="s">
        <v>86</v>
      </c>
      <c r="D194" s="143" t="s">
        <v>87</v>
      </c>
      <c r="E194" s="143"/>
      <c r="F194" s="143"/>
      <c r="G194" s="143"/>
      <c r="H194" s="143"/>
      <c r="I194" s="143"/>
      <c r="J194" s="143"/>
      <c r="K194" s="143"/>
      <c r="L194" s="143"/>
    </row>
    <row r="195" spans="1:12">
      <c r="A195" s="142">
        <v>0</v>
      </c>
      <c r="B195" s="142">
        <f>$B$193</f>
        <v>1</v>
      </c>
      <c r="C195" s="164">
        <f>1-(1+2*RADIANS(B195)*SQRT(A195/1))^2</f>
        <v>0</v>
      </c>
      <c r="D195" s="164">
        <f>1-(1-2*RADIANS(B195)*SQRT(A195/1))^2</f>
        <v>0</v>
      </c>
      <c r="E195" s="143"/>
      <c r="F195" s="143"/>
      <c r="G195" s="143"/>
      <c r="H195" s="143"/>
      <c r="I195" s="143"/>
      <c r="J195" s="143"/>
      <c r="K195" s="143"/>
      <c r="L195" s="143"/>
    </row>
    <row r="196" spans="1:12">
      <c r="A196" s="142">
        <f>A195+$A$205/10</f>
        <v>0.1</v>
      </c>
      <c r="B196" s="142">
        <f t="shared" ref="B196:B205" si="3">$B$193</f>
        <v>1</v>
      </c>
      <c r="C196" s="164">
        <f t="shared" ref="C196:C205" si="4">1-(1+2*RADIANS(B196)*SQRT(A196/1))^2</f>
        <v>-2.2198709780794745E-2</v>
      </c>
      <c r="D196" s="164">
        <f t="shared" ref="D196:D205" si="5">1-(1-2*RADIANS(B196)*SQRT(A196/1))^2</f>
        <v>2.1955015844965509E-2</v>
      </c>
      <c r="E196" s="143"/>
      <c r="F196" s="143"/>
      <c r="G196" s="143"/>
      <c r="H196" s="143"/>
      <c r="I196" s="143"/>
      <c r="J196" s="143"/>
      <c r="K196" s="143"/>
      <c r="L196" s="143"/>
    </row>
    <row r="197" spans="1:12">
      <c r="A197" s="142">
        <f t="shared" ref="A197:A204" si="6">A196+$A$205/10</f>
        <v>0.2</v>
      </c>
      <c r="B197" s="142">
        <f t="shared" si="3"/>
        <v>1</v>
      </c>
      <c r="C197" s="164">
        <f t="shared" si="4"/>
        <v>-3.1465092740454725E-2</v>
      </c>
      <c r="D197" s="164">
        <f t="shared" si="5"/>
        <v>3.0977704868796141E-2</v>
      </c>
      <c r="E197" s="143"/>
      <c r="F197" s="143"/>
      <c r="G197" s="143"/>
      <c r="H197" s="143"/>
      <c r="I197" s="143"/>
      <c r="J197" s="143"/>
      <c r="K197" s="143"/>
      <c r="L197" s="143"/>
    </row>
    <row r="198" spans="1:12">
      <c r="A198" s="142">
        <f t="shared" si="6"/>
        <v>0.30000000000000004</v>
      </c>
      <c r="B198" s="142">
        <f t="shared" si="3"/>
        <v>1</v>
      </c>
      <c r="C198" s="164">
        <f t="shared" si="4"/>
        <v>-3.8603788967380481E-2</v>
      </c>
      <c r="D198" s="164">
        <f t="shared" si="5"/>
        <v>3.7872707159892438E-2</v>
      </c>
      <c r="E198" s="143"/>
      <c r="F198" s="143"/>
      <c r="G198" s="143"/>
      <c r="H198" s="143"/>
      <c r="I198" s="143"/>
      <c r="J198" s="143"/>
      <c r="K198" s="143"/>
      <c r="L198" s="143"/>
    </row>
    <row r="199" spans="1:12">
      <c r="A199" s="142">
        <f t="shared" si="6"/>
        <v>0.4</v>
      </c>
      <c r="B199" s="142">
        <f t="shared" si="3"/>
        <v>1</v>
      </c>
      <c r="C199" s="164">
        <f t="shared" si="4"/>
        <v>-4.4641113497419171E-2</v>
      </c>
      <c r="D199" s="164">
        <f t="shared" si="5"/>
        <v>4.3666337754101781E-2</v>
      </c>
      <c r="E199" s="143"/>
      <c r="F199" s="143"/>
      <c r="G199" s="143"/>
      <c r="H199" s="143"/>
      <c r="I199" s="143"/>
      <c r="J199" s="143"/>
      <c r="K199" s="143"/>
      <c r="L199" s="143"/>
    </row>
    <row r="200" spans="1:12">
      <c r="A200" s="142">
        <f t="shared" si="6"/>
        <v>0.5</v>
      </c>
      <c r="B200" s="142">
        <f t="shared" si="3"/>
        <v>1</v>
      </c>
      <c r="C200" s="164">
        <f t="shared" si="4"/>
        <v>-4.9974600819110648E-2</v>
      </c>
      <c r="D200" s="164">
        <f t="shared" si="5"/>
        <v>4.8756131139964021E-2</v>
      </c>
      <c r="E200" s="143" t="s">
        <v>88</v>
      </c>
      <c r="F200" s="143"/>
      <c r="G200" s="143"/>
      <c r="H200" s="143"/>
      <c r="I200" s="143"/>
      <c r="J200" s="143"/>
      <c r="K200" s="143"/>
      <c r="L200" s="143"/>
    </row>
    <row r="201" spans="1:12">
      <c r="A201" s="142">
        <f t="shared" si="6"/>
        <v>0.6</v>
      </c>
      <c r="B201" s="142">
        <f t="shared" si="3"/>
        <v>1</v>
      </c>
      <c r="C201" s="164">
        <f t="shared" si="4"/>
        <v>-5.4808130820469758E-2</v>
      </c>
      <c r="D201" s="164">
        <f t="shared" si="5"/>
        <v>5.334596720549345E-2</v>
      </c>
      <c r="E201" s="143"/>
      <c r="F201" s="143"/>
      <c r="G201" s="143"/>
      <c r="H201" s="143"/>
      <c r="I201" s="143"/>
      <c r="J201" s="143"/>
      <c r="K201" s="143"/>
      <c r="L201" s="143"/>
    </row>
    <row r="202" spans="1:12">
      <c r="A202" s="142">
        <f t="shared" si="6"/>
        <v>0.7</v>
      </c>
      <c r="B202" s="142">
        <f t="shared" si="3"/>
        <v>1</v>
      </c>
      <c r="C202" s="164">
        <f t="shared" si="4"/>
        <v>-5.9262817506773757E-2</v>
      </c>
      <c r="D202" s="164">
        <f t="shared" si="5"/>
        <v>5.7556959955968101E-2</v>
      </c>
      <c r="E202" s="143"/>
      <c r="F202" s="143"/>
      <c r="G202" s="143"/>
      <c r="H202" s="143"/>
      <c r="I202" s="143"/>
      <c r="J202" s="143"/>
      <c r="K202" s="143"/>
      <c r="L202" s="143"/>
    </row>
    <row r="203" spans="1:12">
      <c r="A203" s="142">
        <f t="shared" si="6"/>
        <v>0.79999999999999993</v>
      </c>
      <c r="B203" s="142">
        <f t="shared" si="3"/>
        <v>1</v>
      </c>
      <c r="C203" s="164">
        <f t="shared" si="4"/>
        <v>-6.3417573352568368E-2</v>
      </c>
      <c r="D203" s="164">
        <f t="shared" si="5"/>
        <v>6.1468021865933475E-2</v>
      </c>
      <c r="E203" s="143"/>
      <c r="F203" s="143"/>
      <c r="G203" s="143"/>
      <c r="H203" s="143"/>
      <c r="I203" s="143"/>
      <c r="J203" s="143"/>
      <c r="K203" s="143"/>
      <c r="L203" s="143"/>
    </row>
    <row r="204" spans="1:12">
      <c r="A204" s="142">
        <f t="shared" si="6"/>
        <v>0.89999999999999991</v>
      </c>
      <c r="B204" s="142">
        <f t="shared" si="3"/>
        <v>1</v>
      </c>
      <c r="C204" s="164">
        <f t="shared" si="4"/>
        <v>-6.7327211149872612E-2</v>
      </c>
      <c r="D204" s="164">
        <f t="shared" si="5"/>
        <v>6.5133965727408594E-2</v>
      </c>
      <c r="E204" s="143"/>
      <c r="F204" s="143"/>
      <c r="G204" s="143"/>
      <c r="H204" s="143"/>
      <c r="I204" s="143"/>
      <c r="J204" s="143"/>
      <c r="K204" s="143"/>
      <c r="L204" s="143"/>
    </row>
    <row r="205" spans="1:12">
      <c r="A205" s="142">
        <v>1</v>
      </c>
      <c r="B205" s="142">
        <f t="shared" si="3"/>
        <v>1</v>
      </c>
      <c r="C205" s="164">
        <f t="shared" si="4"/>
        <v>-7.1031639758920129E-2</v>
      </c>
      <c r="D205" s="164">
        <f t="shared" si="5"/>
        <v>6.8594700400626429E-2</v>
      </c>
      <c r="E205" s="143"/>
      <c r="F205" s="143"/>
      <c r="G205" s="143"/>
      <c r="H205" s="143"/>
      <c r="I205" s="143"/>
      <c r="J205" s="143"/>
      <c r="K205" s="143"/>
      <c r="L205" s="143"/>
    </row>
    <row r="206" spans="1:12">
      <c r="A206" s="142"/>
      <c r="B206" s="142"/>
      <c r="C206" s="164"/>
      <c r="D206" s="143"/>
      <c r="E206" s="143"/>
      <c r="F206" s="143"/>
      <c r="G206" s="143"/>
      <c r="H206" s="143"/>
      <c r="I206" s="143"/>
      <c r="J206" s="143"/>
      <c r="K206" s="143"/>
      <c r="L206" s="143"/>
    </row>
    <row r="207" spans="1:12">
      <c r="A207" s="142"/>
      <c r="B207" s="142"/>
      <c r="C207" s="164"/>
      <c r="D207" s="143"/>
      <c r="E207" s="143"/>
      <c r="F207" s="143"/>
      <c r="G207" s="143"/>
      <c r="H207" s="143"/>
      <c r="I207" s="143"/>
      <c r="J207" s="143"/>
      <c r="K207" s="143"/>
      <c r="L207" s="143"/>
    </row>
    <row r="208" spans="1:12" ht="13.5" thickBot="1">
      <c r="A208" s="165"/>
      <c r="B208" s="165"/>
      <c r="C208" s="143"/>
      <c r="D208" s="143"/>
      <c r="E208" s="143"/>
      <c r="F208" s="143"/>
      <c r="G208" s="143"/>
      <c r="H208" s="143"/>
      <c r="I208" s="143"/>
      <c r="J208" s="143"/>
      <c r="K208" s="143"/>
      <c r="L208" s="143"/>
    </row>
    <row r="209" spans="1:12" ht="13.5" thickBot="1">
      <c r="A209" s="148" t="s">
        <v>44</v>
      </c>
      <c r="B209" s="149" t="s">
        <v>89</v>
      </c>
      <c r="C209" s="150"/>
      <c r="D209" s="150"/>
      <c r="E209" s="150"/>
      <c r="F209" s="151" t="s">
        <v>46</v>
      </c>
      <c r="G209" s="130" t="s">
        <v>47</v>
      </c>
      <c r="H209" s="130"/>
      <c r="I209" s="148" t="s">
        <v>48</v>
      </c>
      <c r="J209" s="195">
        <v>1</v>
      </c>
      <c r="K209" s="132" t="s">
        <v>49</v>
      </c>
      <c r="L209" s="131">
        <v>1</v>
      </c>
    </row>
    <row r="210" spans="1:12" ht="13.5" thickBot="1">
      <c r="A210" s="148" t="s">
        <v>50</v>
      </c>
      <c r="B210" s="149" t="s">
        <v>51</v>
      </c>
      <c r="C210" s="150"/>
      <c r="D210" s="150"/>
      <c r="E210" s="153"/>
      <c r="F210" s="148" t="s">
        <v>52</v>
      </c>
      <c r="G210" s="149"/>
      <c r="H210" s="150"/>
      <c r="I210" s="150"/>
      <c r="J210" s="147"/>
      <c r="K210" s="147"/>
      <c r="L210" s="154"/>
    </row>
    <row r="211" spans="1:12" ht="13.5" thickBot="1">
      <c r="A211" s="148" t="s">
        <v>53</v>
      </c>
      <c r="B211" s="149" t="s">
        <v>75</v>
      </c>
      <c r="C211" s="150"/>
      <c r="D211" s="150"/>
      <c r="E211" s="153"/>
      <c r="F211" s="148" t="s">
        <v>55</v>
      </c>
      <c r="G211" s="149"/>
      <c r="H211" s="150"/>
      <c r="I211" s="150"/>
      <c r="J211" s="150"/>
      <c r="K211" s="150"/>
      <c r="L211" s="153"/>
    </row>
    <row r="212" spans="1:12">
      <c r="A212" s="308" t="s">
        <v>56</v>
      </c>
      <c r="B212" s="156" t="s">
        <v>57</v>
      </c>
      <c r="C212" s="130"/>
      <c r="D212" s="130"/>
      <c r="E212" s="130"/>
      <c r="F212" s="130"/>
      <c r="G212" s="130"/>
      <c r="H212" s="130"/>
      <c r="I212" s="130"/>
      <c r="J212" s="130"/>
      <c r="K212" s="130"/>
      <c r="L212" s="157"/>
    </row>
    <row r="213" spans="1:12">
      <c r="A213" s="308"/>
      <c r="B213" s="158"/>
      <c r="C213" s="143"/>
      <c r="D213" s="143"/>
      <c r="E213" s="143"/>
      <c r="F213" s="143"/>
      <c r="G213" s="143"/>
      <c r="H213" s="143"/>
      <c r="I213" s="143"/>
      <c r="J213" s="143"/>
      <c r="K213" s="143"/>
      <c r="L213" s="159"/>
    </row>
    <row r="214" spans="1:12" ht="13.5" thickBot="1">
      <c r="A214" s="308"/>
      <c r="B214" s="160"/>
      <c r="C214" s="147"/>
      <c r="D214" s="147"/>
      <c r="E214" s="147"/>
      <c r="F214" s="147"/>
      <c r="G214" s="147"/>
      <c r="H214" s="147"/>
      <c r="I214" s="147"/>
      <c r="J214" s="147"/>
      <c r="K214" s="147"/>
      <c r="L214" s="154"/>
    </row>
    <row r="216" spans="1:12">
      <c r="A216" s="166" t="s">
        <v>90</v>
      </c>
    </row>
    <row r="217" spans="1:12">
      <c r="A217" s="166" t="s">
        <v>91</v>
      </c>
    </row>
    <row r="219" spans="1:12">
      <c r="A219" s="144" t="s">
        <v>92</v>
      </c>
    </row>
    <row r="220" spans="1:12">
      <c r="A220" s="144" t="s">
        <v>93</v>
      </c>
    </row>
    <row r="221" spans="1:12">
      <c r="A221" s="144" t="s">
        <v>94</v>
      </c>
    </row>
    <row r="223" spans="1:12">
      <c r="D223" s="144" t="s">
        <v>95</v>
      </c>
    </row>
    <row r="225" spans="1:9">
      <c r="A225" s="144" t="s">
        <v>96</v>
      </c>
    </row>
    <row r="226" spans="1:9" ht="13.5" thickBot="1">
      <c r="A226" s="144" t="s">
        <v>97</v>
      </c>
    </row>
    <row r="227" spans="1:9" ht="13.5" thickBot="1">
      <c r="E227" s="167" t="s">
        <v>98</v>
      </c>
      <c r="F227" s="168" t="s">
        <v>99</v>
      </c>
      <c r="G227" s="169" t="s">
        <v>100</v>
      </c>
    </row>
    <row r="228" spans="1:9">
      <c r="E228" s="170">
        <v>0.1</v>
      </c>
      <c r="F228" s="171">
        <f>1/(1+((1.4-1)/2)*E228^2)^(1/(1.4-1))</f>
        <v>0.99501744764400046</v>
      </c>
      <c r="G228" s="172">
        <f>1-F228</f>
        <v>4.9825523559995366E-3</v>
      </c>
      <c r="I228" s="144" t="s">
        <v>101</v>
      </c>
    </row>
    <row r="229" spans="1:9">
      <c r="E229" s="170">
        <v>0.15</v>
      </c>
      <c r="F229" s="171">
        <f t="shared" ref="F229:F237" si="7">1/(1+((1.4-1)/2)*E229^2)^(1/(1.4-1))</f>
        <v>0.98883799942083594</v>
      </c>
      <c r="G229" s="173">
        <f t="shared" ref="G229:G237" si="8">1-F229</f>
        <v>1.1162000579164055E-2</v>
      </c>
      <c r="I229" s="144" t="s">
        <v>102</v>
      </c>
    </row>
    <row r="230" spans="1:9">
      <c r="E230" s="170">
        <v>0.25</v>
      </c>
      <c r="F230" s="171">
        <f t="shared" si="7"/>
        <v>0.96942099314119834</v>
      </c>
      <c r="G230" s="173">
        <f t="shared" si="8"/>
        <v>3.0579006858801661E-2</v>
      </c>
      <c r="I230" s="144" t="s">
        <v>103</v>
      </c>
    </row>
    <row r="231" spans="1:9">
      <c r="E231" s="170">
        <v>0.28000000000000003</v>
      </c>
      <c r="F231" s="171">
        <f t="shared" si="7"/>
        <v>0.96185088330603818</v>
      </c>
      <c r="G231" s="173">
        <f t="shared" si="8"/>
        <v>3.8149116693961815E-2</v>
      </c>
    </row>
    <row r="232" spans="1:9">
      <c r="E232" s="174">
        <v>0.3</v>
      </c>
      <c r="F232" s="175">
        <f t="shared" si="7"/>
        <v>0.95638015306690838</v>
      </c>
      <c r="G232" s="176">
        <f t="shared" si="8"/>
        <v>4.3619846933091622E-2</v>
      </c>
      <c r="I232" s="144" t="s">
        <v>104</v>
      </c>
    </row>
    <row r="233" spans="1:9">
      <c r="E233" s="174">
        <v>0.32</v>
      </c>
      <c r="F233" s="175">
        <f t="shared" si="7"/>
        <v>0.95058018276636214</v>
      </c>
      <c r="G233" s="176">
        <f t="shared" si="8"/>
        <v>4.9419817233637864E-2</v>
      </c>
      <c r="I233" s="144" t="s">
        <v>105</v>
      </c>
    </row>
    <row r="234" spans="1:9">
      <c r="E234" s="174">
        <v>0.4</v>
      </c>
      <c r="F234" s="175">
        <f t="shared" si="7"/>
        <v>0.92427404330578189</v>
      </c>
      <c r="G234" s="176">
        <f t="shared" si="8"/>
        <v>7.5725956694218111E-2</v>
      </c>
      <c r="I234" s="144" t="s">
        <v>106</v>
      </c>
    </row>
    <row r="235" spans="1:9">
      <c r="E235" s="170">
        <v>0.7</v>
      </c>
      <c r="F235" s="171">
        <f t="shared" si="7"/>
        <v>0.79157879136912335</v>
      </c>
      <c r="G235" s="173">
        <f t="shared" si="8"/>
        <v>0.20842120863087665</v>
      </c>
      <c r="I235" s="144" t="s">
        <v>107</v>
      </c>
    </row>
    <row r="236" spans="1:9">
      <c r="E236" s="170">
        <v>0.8</v>
      </c>
      <c r="F236" s="171">
        <f t="shared" si="7"/>
        <v>0.73999238550892377</v>
      </c>
      <c r="G236" s="173">
        <f t="shared" si="8"/>
        <v>0.26000761449107623</v>
      </c>
      <c r="I236" s="144" t="s">
        <v>108</v>
      </c>
    </row>
    <row r="237" spans="1:9" ht="13.5" thickBot="1">
      <c r="E237" s="177">
        <v>1</v>
      </c>
      <c r="F237" s="178">
        <f t="shared" si="7"/>
        <v>0.63393814526060888</v>
      </c>
      <c r="G237" s="179">
        <f t="shared" si="8"/>
        <v>0.36606185473939112</v>
      </c>
    </row>
    <row r="239" spans="1:9">
      <c r="A239" s="144" t="s">
        <v>109</v>
      </c>
      <c r="C239" s="144" t="s">
        <v>110</v>
      </c>
    </row>
    <row r="240" spans="1:9">
      <c r="C240" s="144" t="s">
        <v>111</v>
      </c>
    </row>
    <row r="241" spans="1:7">
      <c r="C241" s="144" t="s">
        <v>112</v>
      </c>
    </row>
    <row r="242" spans="1:7" ht="13.5" thickBot="1"/>
    <row r="243" spans="1:7" ht="15" customHeight="1" thickBot="1">
      <c r="C243" s="309" t="s">
        <v>113</v>
      </c>
      <c r="D243" s="310"/>
      <c r="E243" s="310"/>
      <c r="F243" s="310"/>
      <c r="G243" s="311"/>
    </row>
    <row r="244" spans="1:7">
      <c r="A244" s="144" t="s">
        <v>114</v>
      </c>
      <c r="C244" s="180" t="s">
        <v>115</v>
      </c>
      <c r="D244" s="181"/>
      <c r="E244" s="180">
        <v>80</v>
      </c>
      <c r="F244" s="181">
        <v>300</v>
      </c>
      <c r="G244" s="182" t="s">
        <v>116</v>
      </c>
    </row>
    <row r="245" spans="1:7">
      <c r="A245" s="144" t="s">
        <v>117</v>
      </c>
      <c r="C245" s="180" t="s">
        <v>118</v>
      </c>
      <c r="D245" s="181"/>
      <c r="E245" s="180">
        <v>288</v>
      </c>
      <c r="F245" s="181">
        <v>288</v>
      </c>
      <c r="G245" s="183" t="s">
        <v>119</v>
      </c>
    </row>
    <row r="246" spans="1:7" ht="13.5" thickBot="1">
      <c r="C246" s="180" t="s">
        <v>120</v>
      </c>
      <c r="D246" s="181"/>
      <c r="E246" s="180">
        <f>101325-0.5*1.225*E244^2</f>
        <v>97405</v>
      </c>
      <c r="F246" s="181">
        <f>101325-0.5*1.225*F244^2</f>
        <v>46199.999999999993</v>
      </c>
      <c r="G246" s="184" t="s">
        <v>121</v>
      </c>
    </row>
    <row r="247" spans="1:7" ht="15" customHeight="1" thickBot="1">
      <c r="A247" s="144" t="s">
        <v>122</v>
      </c>
      <c r="C247" s="309" t="s">
        <v>123</v>
      </c>
      <c r="D247" s="310"/>
      <c r="E247" s="310"/>
      <c r="F247" s="310"/>
      <c r="G247" s="311"/>
    </row>
    <row r="248" spans="1:7">
      <c r="A248" s="144" t="s">
        <v>124</v>
      </c>
      <c r="C248" s="180" t="s">
        <v>118</v>
      </c>
      <c r="D248" s="181"/>
      <c r="E248" s="180">
        <f>288-(E244^2)/(2*1005)</f>
        <v>284.81592039800995</v>
      </c>
      <c r="F248" s="181">
        <f>288-(F244^2)/(2*1005)</f>
        <v>243.22388059701493</v>
      </c>
      <c r="G248" s="182" t="s">
        <v>119</v>
      </c>
    </row>
    <row r="249" spans="1:7" ht="13.5" thickBot="1">
      <c r="A249" s="144" t="s">
        <v>125</v>
      </c>
      <c r="C249" s="180" t="s">
        <v>120</v>
      </c>
      <c r="D249" s="181"/>
      <c r="E249" s="180">
        <f>(101325)*(E248/288)^(1.4/(1.4-1))</f>
        <v>97458.073088268851</v>
      </c>
      <c r="F249" s="181">
        <f>(101325)*(F248/288)^(1.4/(1.4-1))</f>
        <v>56087.315222353413</v>
      </c>
      <c r="G249" s="184" t="s">
        <v>121</v>
      </c>
    </row>
    <row r="250" spans="1:7" ht="13.5" thickBot="1">
      <c r="C250" s="185" t="s">
        <v>126</v>
      </c>
      <c r="D250" s="186"/>
      <c r="E250" s="187">
        <f>1-E246/E249</f>
        <v>5.4457354416170833E-4</v>
      </c>
      <c r="F250" s="188">
        <f>1-F246/F249</f>
        <v>0.17628433778932007</v>
      </c>
    </row>
    <row r="253" spans="1:7">
      <c r="C253" s="144" t="s">
        <v>127</v>
      </c>
    </row>
    <row r="254" spans="1:7">
      <c r="C254" s="144" t="s">
        <v>128</v>
      </c>
    </row>
    <row r="256" spans="1:7">
      <c r="C256" s="189" t="s">
        <v>129</v>
      </c>
      <c r="D256" s="189" t="s">
        <v>130</v>
      </c>
      <c r="E256" s="189">
        <f>80/330</f>
        <v>0.24242424242424243</v>
      </c>
      <c r="F256" s="312" t="s">
        <v>78</v>
      </c>
    </row>
    <row r="257" spans="1:12">
      <c r="C257" s="189" t="s">
        <v>131</v>
      </c>
      <c r="D257" s="189" t="s">
        <v>132</v>
      </c>
      <c r="E257" s="189">
        <f>300/330</f>
        <v>0.90909090909090906</v>
      </c>
      <c r="F257" s="313"/>
    </row>
    <row r="259" spans="1:12" ht="13.5" thickBot="1"/>
    <row r="260" spans="1:12" ht="13.5" thickBot="1">
      <c r="A260" s="148" t="s">
        <v>44</v>
      </c>
      <c r="B260" s="149" t="s">
        <v>133</v>
      </c>
      <c r="C260" s="150"/>
      <c r="D260" s="150"/>
      <c r="E260" s="150"/>
      <c r="F260" s="151" t="s">
        <v>46</v>
      </c>
      <c r="G260" s="130" t="s">
        <v>134</v>
      </c>
      <c r="H260" s="130"/>
      <c r="I260" s="148" t="s">
        <v>48</v>
      </c>
      <c r="J260" s="149">
        <v>1</v>
      </c>
      <c r="K260" s="152" t="s">
        <v>49</v>
      </c>
      <c r="L260" s="153">
        <v>2</v>
      </c>
    </row>
    <row r="261" spans="1:12" ht="13.5" thickBot="1">
      <c r="A261" s="148" t="s">
        <v>50</v>
      </c>
      <c r="B261" s="149" t="s">
        <v>51</v>
      </c>
      <c r="C261" s="150"/>
      <c r="D261" s="150"/>
      <c r="E261" s="153"/>
      <c r="F261" s="148" t="s">
        <v>52</v>
      </c>
      <c r="G261" s="149"/>
      <c r="H261" s="150"/>
      <c r="I261" s="150"/>
      <c r="J261" s="147"/>
      <c r="K261" s="147"/>
      <c r="L261" s="154"/>
    </row>
    <row r="262" spans="1:12" ht="13.5" thickBot="1">
      <c r="A262" s="148" t="s">
        <v>53</v>
      </c>
      <c r="B262" s="149" t="s">
        <v>75</v>
      </c>
      <c r="C262" s="150"/>
      <c r="D262" s="150"/>
      <c r="E262" s="153"/>
      <c r="F262" s="148" t="s">
        <v>55</v>
      </c>
      <c r="G262" s="149"/>
      <c r="H262" s="150"/>
      <c r="I262" s="150"/>
      <c r="J262" s="150"/>
      <c r="K262" s="150"/>
      <c r="L262" s="153"/>
    </row>
    <row r="263" spans="1:12" ht="14.25">
      <c r="A263" s="308" t="s">
        <v>56</v>
      </c>
      <c r="B263" s="190" t="s">
        <v>135</v>
      </c>
      <c r="C263" s="122"/>
      <c r="D263" s="122"/>
      <c r="E263" s="122"/>
      <c r="F263" s="122"/>
      <c r="G263" s="122"/>
      <c r="H263" s="122"/>
      <c r="I263" s="122"/>
      <c r="J263" s="122"/>
      <c r="K263" s="122"/>
      <c r="L263" s="191"/>
    </row>
    <row r="264" spans="1:12" ht="14.25">
      <c r="A264" s="308"/>
      <c r="B264" s="190" t="s">
        <v>136</v>
      </c>
      <c r="L264" s="181"/>
    </row>
    <row r="265" spans="1:12" ht="13.5" thickBot="1">
      <c r="A265" s="308"/>
      <c r="B265" s="192"/>
      <c r="C265" s="193"/>
      <c r="D265" s="193"/>
      <c r="E265" s="193"/>
      <c r="F265" s="193"/>
      <c r="G265" s="193"/>
      <c r="H265" s="193"/>
      <c r="I265" s="193"/>
      <c r="J265" s="193"/>
      <c r="K265" s="193"/>
      <c r="L265" s="194"/>
    </row>
    <row r="267" spans="1:12">
      <c r="A267" s="166" t="s">
        <v>137</v>
      </c>
    </row>
    <row r="268" spans="1:12">
      <c r="A268" s="166" t="s">
        <v>138</v>
      </c>
    </row>
  </sheetData>
  <mergeCells count="7">
    <mergeCell ref="A108:A110"/>
    <mergeCell ref="A160:A162"/>
    <mergeCell ref="A212:A214"/>
    <mergeCell ref="A263:A265"/>
    <mergeCell ref="C243:G243"/>
    <mergeCell ref="C247:G247"/>
    <mergeCell ref="F256:F257"/>
  </mergeCells>
  <hyperlinks>
    <hyperlink ref="B263" r:id="rId1" display="https://ansyshelp.ansys.com/public/account/secured?returnurl=/Views/Secured/corp/v242/en/flu_tg/flu_tg_oneram6_wing.html"/>
    <hyperlink ref="B264" r:id="rId2"/>
  </hyperlinks>
  <pageMargins left="0.25" right="0.25" top="0.75" bottom="0.75" header="0.3" footer="0.3"/>
  <pageSetup paperSize="9" orientation="portrait" r:id="rId3"/>
  <headerFooter>
    <oddHeader xml:space="preserve">&amp;L&amp;G DYNX - High Power Rocketry Team&amp;CManual for Aerodynamics and Stability 
analysis &amp;R22/12/2024 rev. 1
</oddHeader>
    <oddFooter>&amp;CPage &amp;P</oddFooter>
  </headerFooter>
  <rowBreaks count="1" manualBreakCount="1">
    <brk id="259" max="16383" man="1"/>
  </rowBreaks>
  <customProperties>
    <customPr name="DynardoMOPSolver" r:id="rId4"/>
  </customProperties>
  <drawing r:id="rId5"/>
  <legacyDrawing r:id="rId6"/>
  <legacyDrawingHF r:id="rId7"/>
  <extLst>
    <ext xmlns:x14="http://schemas.microsoft.com/office/spreadsheetml/2009/9/main" uri="{05C60535-1F16-4fd2-B633-F4F36F0B64E0}">
      <x14:sparklineGroups xmlns:xm="http://schemas.microsoft.com/office/excel/2006/main">
        <x14:sparklineGroup type="column" displayEmptyCellsAs="gap">
          <x14:colorSeries theme="3" tint="0.499984740745262"/>
          <x14:colorNegative theme="1" tint="0.249977111117893"/>
          <x14:colorAxis rgb="FF000000"/>
          <x14:colorMarkers theme="1" tint="0.249977111117893"/>
          <x14:colorFirst theme="1" tint="0.249977111117893"/>
          <x14:colorLast theme="1" tint="0.249977111117893"/>
          <x14:colorHigh theme="1" tint="0.249977111117893"/>
          <x14:colorLow theme="1" tint="0.249977111117893"/>
          <x14:sparklines>
            <x14:sparkline>
              <xm:f>'Manual rev.1'!D256:D257</xm:f>
              <xm:sqref>H259</xm:sqref>
            </x14:sparkline>
          </x14:sparklines>
        </x14:sparklineGroup>
      </x14:sparklineGroup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30"/>
  <sheetViews>
    <sheetView zoomScale="70" zoomScaleNormal="70" workbookViewId="0">
      <selection activeCell="C28" sqref="C28"/>
    </sheetView>
  </sheetViews>
  <sheetFormatPr defaultColWidth="9.125" defaultRowHeight="14.25"/>
  <cols>
    <col min="1" max="1" width="30.875" bestFit="1" customWidth="1"/>
    <col min="3" max="3" width="74" bestFit="1" customWidth="1"/>
    <col min="4" max="4" width="49.375" bestFit="1" customWidth="1"/>
  </cols>
  <sheetData>
    <row r="1" spans="1:4">
      <c r="A1" t="s">
        <v>492</v>
      </c>
      <c r="B1" t="s">
        <v>493</v>
      </c>
      <c r="C1">
        <v>18</v>
      </c>
    </row>
    <row r="2" spans="1:4" ht="15" thickBot="1">
      <c r="B2" t="s">
        <v>494</v>
      </c>
      <c r="C2" t="s">
        <v>495</v>
      </c>
      <c r="D2" t="s">
        <v>496</v>
      </c>
    </row>
    <row r="3" spans="1:4">
      <c r="A3" s="225" t="s">
        <v>333</v>
      </c>
      <c r="B3" s="226" t="s">
        <v>497</v>
      </c>
      <c r="C3" s="226" t="s">
        <v>498</v>
      </c>
      <c r="D3" s="227" t="s">
        <v>499</v>
      </c>
    </row>
    <row r="4" spans="1:4" ht="15" thickBot="1">
      <c r="A4" s="228"/>
      <c r="B4" s="229" t="s">
        <v>500</v>
      </c>
      <c r="C4" s="229" t="s">
        <v>501</v>
      </c>
      <c r="D4" s="230" t="s">
        <v>502</v>
      </c>
    </row>
    <row r="5" spans="1:4">
      <c r="A5" s="225"/>
      <c r="B5" s="226" t="s">
        <v>503</v>
      </c>
      <c r="C5" s="226" t="s">
        <v>504</v>
      </c>
      <c r="D5" s="227" t="s">
        <v>505</v>
      </c>
    </row>
    <row r="6" spans="1:4">
      <c r="A6" s="231" t="s">
        <v>506</v>
      </c>
      <c r="B6" t="s">
        <v>507</v>
      </c>
      <c r="C6" t="s">
        <v>508</v>
      </c>
      <c r="D6" s="232" t="s">
        <v>509</v>
      </c>
    </row>
    <row r="7" spans="1:4" ht="15" thickBot="1">
      <c r="A7" s="228"/>
      <c r="B7" s="229" t="s">
        <v>510</v>
      </c>
      <c r="C7" s="229" t="s">
        <v>511</v>
      </c>
      <c r="D7" s="230" t="s">
        <v>512</v>
      </c>
    </row>
    <row r="8" spans="1:4">
      <c r="A8" s="225"/>
      <c r="B8" s="226" t="s">
        <v>513</v>
      </c>
      <c r="C8" s="226" t="s">
        <v>514</v>
      </c>
      <c r="D8" s="227" t="s">
        <v>515</v>
      </c>
    </row>
    <row r="9" spans="1:4">
      <c r="A9" s="231" t="s">
        <v>516</v>
      </c>
      <c r="B9" t="s">
        <v>517</v>
      </c>
      <c r="C9" t="s">
        <v>518</v>
      </c>
      <c r="D9" s="232" t="s">
        <v>519</v>
      </c>
    </row>
    <row r="10" spans="1:4" ht="15" thickBot="1">
      <c r="A10" s="228"/>
      <c r="B10" s="229" t="s">
        <v>520</v>
      </c>
      <c r="C10" s="229" t="s">
        <v>521</v>
      </c>
      <c r="D10" s="230" t="s">
        <v>522</v>
      </c>
    </row>
    <row r="11" spans="1:4">
      <c r="A11" s="225"/>
      <c r="B11" s="226" t="s">
        <v>523</v>
      </c>
      <c r="C11" s="226" t="s">
        <v>524</v>
      </c>
      <c r="D11" s="227" t="s">
        <v>525</v>
      </c>
    </row>
    <row r="12" spans="1:4">
      <c r="A12" s="231" t="s">
        <v>526</v>
      </c>
      <c r="B12" t="s">
        <v>527</v>
      </c>
      <c r="C12" t="s">
        <v>528</v>
      </c>
      <c r="D12" s="232" t="s">
        <v>529</v>
      </c>
    </row>
    <row r="13" spans="1:4" ht="15" thickBot="1">
      <c r="A13" s="228"/>
      <c r="B13" s="229" t="s">
        <v>530</v>
      </c>
      <c r="C13" s="229" t="s">
        <v>531</v>
      </c>
      <c r="D13" s="230" t="s">
        <v>532</v>
      </c>
    </row>
    <row r="14" spans="1:4">
      <c r="A14" s="225"/>
      <c r="B14" s="226" t="s">
        <v>533</v>
      </c>
      <c r="C14" s="226" t="s">
        <v>534</v>
      </c>
      <c r="D14" s="227" t="s">
        <v>535</v>
      </c>
    </row>
    <row r="15" spans="1:4">
      <c r="A15" s="231" t="s">
        <v>536</v>
      </c>
      <c r="B15" t="s">
        <v>537</v>
      </c>
      <c r="C15" t="s">
        <v>538</v>
      </c>
      <c r="D15" s="232" t="s">
        <v>539</v>
      </c>
    </row>
    <row r="16" spans="1:4" ht="15" thickBot="1">
      <c r="A16" s="228"/>
      <c r="B16" s="229" t="s">
        <v>540</v>
      </c>
      <c r="C16" s="229" t="s">
        <v>541</v>
      </c>
      <c r="D16" s="230" t="s">
        <v>542</v>
      </c>
    </row>
    <row r="17" spans="1:11">
      <c r="A17" s="225"/>
      <c r="B17" s="226" t="s">
        <v>543</v>
      </c>
      <c r="C17" s="226" t="s">
        <v>544</v>
      </c>
      <c r="D17" s="227" t="s">
        <v>545</v>
      </c>
      <c r="K17">
        <f>DEGREES(ATAN(1/20))</f>
        <v>2.8624052261117479</v>
      </c>
    </row>
    <row r="18" spans="1:11">
      <c r="A18" s="231" t="s">
        <v>546</v>
      </c>
      <c r="B18" t="s">
        <v>547</v>
      </c>
      <c r="C18" t="s">
        <v>548</v>
      </c>
      <c r="D18" s="232" t="s">
        <v>549</v>
      </c>
    </row>
    <row r="19" spans="1:11" ht="15" thickBot="1">
      <c r="A19" s="228"/>
      <c r="B19" s="229" t="s">
        <v>550</v>
      </c>
      <c r="C19" s="229" t="s">
        <v>551</v>
      </c>
      <c r="D19" s="230" t="s">
        <v>552</v>
      </c>
    </row>
    <row r="20" spans="1:11">
      <c r="A20" s="225"/>
      <c r="B20" s="226" t="s">
        <v>553</v>
      </c>
      <c r="C20" s="226" t="s">
        <v>554</v>
      </c>
      <c r="D20" s="227" t="s">
        <v>555</v>
      </c>
    </row>
    <row r="21" spans="1:11">
      <c r="A21" s="231" t="s">
        <v>556</v>
      </c>
      <c r="B21" t="s">
        <v>557</v>
      </c>
      <c r="C21" t="s">
        <v>558</v>
      </c>
      <c r="D21" s="232" t="s">
        <v>559</v>
      </c>
    </row>
    <row r="22" spans="1:11" ht="15" thickBot="1">
      <c r="A22" s="228"/>
      <c r="B22" s="229" t="s">
        <v>560</v>
      </c>
      <c r="C22" s="229" t="s">
        <v>561</v>
      </c>
      <c r="D22" s="230" t="s">
        <v>562</v>
      </c>
    </row>
    <row r="24" spans="1:11">
      <c r="A24" t="s">
        <v>563</v>
      </c>
    </row>
    <row r="25" spans="1:11">
      <c r="A25" t="s">
        <v>193</v>
      </c>
    </row>
    <row r="26" spans="1:11">
      <c r="A26" t="s">
        <v>194</v>
      </c>
    </row>
    <row r="27" spans="1:11">
      <c r="A27" t="s">
        <v>564</v>
      </c>
    </row>
    <row r="28" spans="1:11">
      <c r="A28" t="s">
        <v>565</v>
      </c>
    </row>
    <row r="29" spans="1:11">
      <c r="A29" t="s">
        <v>566</v>
      </c>
    </row>
    <row r="30" spans="1:11">
      <c r="A30" t="s">
        <v>567</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
  <sheetViews>
    <sheetView workbookViewId="0">
      <selection activeCell="L12" sqref="L12"/>
    </sheetView>
  </sheetViews>
  <sheetFormatPr defaultColWidth="9.125" defaultRowHeight="14.25"/>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
  <sheetViews>
    <sheetView workbookViewId="0"/>
  </sheetViews>
  <sheetFormatPr defaultColWidth="9.125" defaultRowHeight="14.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
  <sheetViews>
    <sheetView workbookViewId="0"/>
  </sheetViews>
  <sheetFormatPr defaultColWidth="9.125" defaultRowHeight="14.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
  <sheetViews>
    <sheetView workbookViewId="0">
      <selection activeCell="K28" sqref="K28"/>
    </sheetView>
  </sheetViews>
  <sheetFormatPr defaultColWidth="9.125" defaultRowHeight="14.2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workbookViewId="0">
      <selection activeCell="O22" sqref="O22"/>
    </sheetView>
  </sheetViews>
  <sheetFormatPr defaultColWidth="9.125" defaultRowHeight="14.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A19"/>
  <sheetViews>
    <sheetView workbookViewId="0">
      <selection activeCell="G12" sqref="G12"/>
    </sheetView>
  </sheetViews>
  <sheetFormatPr defaultColWidth="15.375" defaultRowHeight="14.25"/>
  <cols>
    <col min="1" max="1" width="24.25" customWidth="1"/>
    <col min="7" max="7" width="9.125" bestFit="1" customWidth="1"/>
    <col min="8" max="8" width="20.125" customWidth="1"/>
  </cols>
  <sheetData>
    <row r="1" spans="1:27" ht="42.95" customHeight="1">
      <c r="A1" s="235" t="s">
        <v>139</v>
      </c>
      <c r="B1" s="246" t="s">
        <v>140</v>
      </c>
      <c r="C1" s="249" t="s">
        <v>141</v>
      </c>
      <c r="D1" s="252" t="s">
        <v>142</v>
      </c>
      <c r="E1" s="255" t="s">
        <v>143</v>
      </c>
      <c r="F1" s="260" t="s">
        <v>144</v>
      </c>
      <c r="G1" s="240" t="s">
        <v>145</v>
      </c>
      <c r="H1" s="241" t="s">
        <v>146</v>
      </c>
      <c r="I1" s="267" t="s">
        <v>147</v>
      </c>
      <c r="J1" s="268" t="s">
        <v>148</v>
      </c>
      <c r="K1" s="265" t="s">
        <v>149</v>
      </c>
      <c r="L1" s="269" t="s">
        <v>150</v>
      </c>
      <c r="M1" s="269" t="s">
        <v>151</v>
      </c>
      <c r="N1" s="269" t="s">
        <v>152</v>
      </c>
      <c r="O1" s="246" t="s">
        <v>153</v>
      </c>
      <c r="P1" s="249" t="s">
        <v>154</v>
      </c>
      <c r="Q1" s="252" t="s">
        <v>155</v>
      </c>
      <c r="R1" s="255" t="s">
        <v>156</v>
      </c>
      <c r="S1" s="260" t="s">
        <v>157</v>
      </c>
      <c r="T1" s="240" t="s">
        <v>158</v>
      </c>
      <c r="U1" s="241" t="s">
        <v>159</v>
      </c>
      <c r="V1" s="261" t="s">
        <v>160</v>
      </c>
      <c r="W1" s="263" t="s">
        <v>161</v>
      </c>
      <c r="X1" s="265" t="s">
        <v>162</v>
      </c>
      <c r="Y1" s="270" t="s">
        <v>163</v>
      </c>
      <c r="Z1" s="270" t="s">
        <v>164</v>
      </c>
      <c r="AA1" s="271" t="s">
        <v>165</v>
      </c>
    </row>
    <row r="2" spans="1:27" ht="14.45" customHeight="1">
      <c r="A2" s="236" t="s">
        <v>166</v>
      </c>
      <c r="B2" s="247">
        <v>2.5</v>
      </c>
      <c r="C2" s="250">
        <v>0</v>
      </c>
      <c r="D2" s="253">
        <v>2.38</v>
      </c>
      <c r="E2" s="256">
        <v>2.5</v>
      </c>
      <c r="F2" s="258">
        <v>2.5099999999999998</v>
      </c>
      <c r="G2" s="242">
        <v>0.81</v>
      </c>
      <c r="H2" s="243">
        <v>1.1000000000000001</v>
      </c>
      <c r="I2" s="272">
        <v>2.1</v>
      </c>
      <c r="J2" s="273">
        <v>2.8130000000000002</v>
      </c>
      <c r="K2" s="274">
        <v>1.5</v>
      </c>
      <c r="L2" s="275">
        <f>AVERAGE(B2,D2,E2,F2,G2,H2,I2,J2,K2)</f>
        <v>2.0236666666666667</v>
      </c>
      <c r="M2" s="275">
        <f>MODE(B2,D2,E2,F2,G2,H2,I2,J2,K2)</f>
        <v>2.5</v>
      </c>
      <c r="N2" s="275">
        <f>MEDIAN(B2,D2,E2,F2,G2,H2,I2,J2,K2)</f>
        <v>2.38</v>
      </c>
      <c r="O2" s="247">
        <f t="shared" ref="O2:O10" si="0">B2-L2</f>
        <v>0.47633333333333328</v>
      </c>
      <c r="P2" s="250">
        <f t="shared" ref="P2:P10" si="1">C2-L2</f>
        <v>-2.0236666666666667</v>
      </c>
      <c r="Q2" s="253">
        <f t="shared" ref="Q2:Q10" si="2">D2-L2</f>
        <v>0.35633333333333317</v>
      </c>
      <c r="R2" s="256">
        <f>E2-L2</f>
        <v>0.47633333333333328</v>
      </c>
      <c r="S2" s="258">
        <f t="shared" ref="S2:S10" si="3">F2-L2</f>
        <v>0.48633333333333306</v>
      </c>
      <c r="T2" s="242">
        <f t="shared" ref="T2:T10" si="4">G2-L2</f>
        <v>-1.2136666666666667</v>
      </c>
      <c r="U2" s="243">
        <f t="shared" ref="U2:U10" si="5">H2-L2</f>
        <v>-0.92366666666666664</v>
      </c>
      <c r="V2" s="262">
        <f t="shared" ref="V2:V10" si="6">I2-L2</f>
        <v>7.6333333333333364E-2</v>
      </c>
      <c r="W2" s="264">
        <f t="shared" ref="W2:W10" si="7">J2-L2</f>
        <v>0.78933333333333344</v>
      </c>
      <c r="X2" s="266">
        <f t="shared" ref="X2:X10" si="8">K2-L2</f>
        <v>-0.52366666666666672</v>
      </c>
      <c r="Y2" s="234">
        <f t="shared" ref="Y2:Y10" si="9">ABS(MIN(O2,P2,Q2,R2,S2,T2,U2,V2,W2,X2))</f>
        <v>2.0236666666666667</v>
      </c>
      <c r="Z2" s="234">
        <f t="shared" ref="Z2:Z10" si="10">MAX(O2,P2,Q2,R2,S2,T2,U2,V2,W2,X2)</f>
        <v>0.78933333333333344</v>
      </c>
      <c r="AA2" s="276">
        <f t="shared" ref="AA2:AA10" si="11">MAX(Y2,Z2)</f>
        <v>2.0236666666666667</v>
      </c>
    </row>
    <row r="3" spans="1:27" ht="14.45" customHeight="1">
      <c r="A3" s="236" t="s">
        <v>167</v>
      </c>
      <c r="B3" s="247">
        <v>13</v>
      </c>
      <c r="C3" s="250">
        <v>17.38</v>
      </c>
      <c r="D3" s="253">
        <v>26</v>
      </c>
      <c r="E3" s="256">
        <v>21</v>
      </c>
      <c r="F3" s="258">
        <v>21.6</v>
      </c>
      <c r="G3" s="242">
        <v>4.6760000000000002</v>
      </c>
      <c r="H3" s="243">
        <v>0.46200000000000002</v>
      </c>
      <c r="I3" s="272">
        <v>7</v>
      </c>
      <c r="J3" s="273">
        <v>33</v>
      </c>
      <c r="K3" s="274">
        <v>32</v>
      </c>
      <c r="L3" s="275">
        <f>AVERAGE(B3,C3,D3,E3,F3,G3,H3,I3,J3,K3)</f>
        <v>17.611799999999999</v>
      </c>
      <c r="M3" s="275" t="e">
        <f>MODE(B3,C3,D3,E3,F3,G3,H3,I3,J3,K3)</f>
        <v>#N/A</v>
      </c>
      <c r="N3" s="275">
        <f>MEDIAN(B3,C3,D3,E3,F3,G3,H3,I3,J3,K3)</f>
        <v>19.189999999999998</v>
      </c>
      <c r="O3" s="247">
        <f t="shared" si="0"/>
        <v>-4.6117999999999988</v>
      </c>
      <c r="P3" s="250">
        <f t="shared" si="1"/>
        <v>-0.23179999999999978</v>
      </c>
      <c r="Q3" s="253">
        <f t="shared" si="2"/>
        <v>8.3882000000000012</v>
      </c>
      <c r="R3" s="256">
        <f>J3-L3</f>
        <v>15.388200000000001</v>
      </c>
      <c r="S3" s="258">
        <f t="shared" si="3"/>
        <v>3.9882000000000026</v>
      </c>
      <c r="T3" s="242">
        <f t="shared" si="4"/>
        <v>-12.935799999999999</v>
      </c>
      <c r="U3" s="243">
        <f t="shared" si="5"/>
        <v>-17.149799999999999</v>
      </c>
      <c r="V3" s="262">
        <f t="shared" si="6"/>
        <v>-10.611799999999999</v>
      </c>
      <c r="W3" s="264">
        <f t="shared" si="7"/>
        <v>15.388200000000001</v>
      </c>
      <c r="X3" s="266">
        <f t="shared" si="8"/>
        <v>14.388200000000001</v>
      </c>
      <c r="Y3" s="234">
        <f t="shared" si="9"/>
        <v>17.149799999999999</v>
      </c>
      <c r="Z3" s="234">
        <f t="shared" si="10"/>
        <v>15.388200000000001</v>
      </c>
      <c r="AA3" s="276">
        <f t="shared" si="11"/>
        <v>17.149799999999999</v>
      </c>
    </row>
    <row r="4" spans="1:27" ht="14.45" customHeight="1">
      <c r="A4" s="236" t="s">
        <v>168</v>
      </c>
      <c r="B4" s="247">
        <v>13</v>
      </c>
      <c r="C4" s="250">
        <v>32.21</v>
      </c>
      <c r="D4" s="253">
        <v>26</v>
      </c>
      <c r="E4" s="256">
        <v>21</v>
      </c>
      <c r="F4" s="258">
        <v>21.6</v>
      </c>
      <c r="G4" s="242">
        <v>7.6319999999999997</v>
      </c>
      <c r="H4" s="243">
        <v>0.80700000000000005</v>
      </c>
      <c r="I4" s="272">
        <v>7</v>
      </c>
      <c r="J4" s="273">
        <v>38</v>
      </c>
      <c r="K4" s="274">
        <v>32</v>
      </c>
      <c r="L4" s="275">
        <f>AVERAGE(B4,C4,D4,E4,F4,G4,H4,I4,J4,K4)</f>
        <v>19.924900000000001</v>
      </c>
      <c r="M4" s="275" t="e">
        <f>MODE(B4,C4,D4,E4,F4,G4,H4,I4,J4,K4)</f>
        <v>#N/A</v>
      </c>
      <c r="N4" s="275">
        <f>MEDIAN(B4,C4,D4,E4,F4,G4,H4,I4,J4,K4)</f>
        <v>21.3</v>
      </c>
      <c r="O4" s="247">
        <f t="shared" si="0"/>
        <v>-6.9249000000000009</v>
      </c>
      <c r="P4" s="250">
        <f t="shared" si="1"/>
        <v>12.2851</v>
      </c>
      <c r="Q4" s="253">
        <f t="shared" si="2"/>
        <v>6.0750999999999991</v>
      </c>
      <c r="R4" s="256">
        <f>J4-L4</f>
        <v>18.075099999999999</v>
      </c>
      <c r="S4" s="258">
        <f t="shared" si="3"/>
        <v>1.6751000000000005</v>
      </c>
      <c r="T4" s="242">
        <f t="shared" si="4"/>
        <v>-12.292900000000001</v>
      </c>
      <c r="U4" s="243">
        <f t="shared" si="5"/>
        <v>-19.117900000000002</v>
      </c>
      <c r="V4" s="262">
        <f t="shared" si="6"/>
        <v>-12.924900000000001</v>
      </c>
      <c r="W4" s="264">
        <f t="shared" si="7"/>
        <v>18.075099999999999</v>
      </c>
      <c r="X4" s="266">
        <f t="shared" si="8"/>
        <v>12.075099999999999</v>
      </c>
      <c r="Y4" s="234">
        <f t="shared" si="9"/>
        <v>19.117900000000002</v>
      </c>
      <c r="Z4" s="234">
        <f t="shared" si="10"/>
        <v>18.075099999999999</v>
      </c>
      <c r="AA4" s="276">
        <f t="shared" si="11"/>
        <v>19.117900000000002</v>
      </c>
    </row>
    <row r="5" spans="1:27" ht="14.45" customHeight="1">
      <c r="A5" s="236" t="s">
        <v>169</v>
      </c>
      <c r="B5" s="247">
        <v>1.4</v>
      </c>
      <c r="C5" s="250">
        <v>4</v>
      </c>
      <c r="D5" s="253">
        <v>0</v>
      </c>
      <c r="E5" s="256">
        <v>0</v>
      </c>
      <c r="F5" s="258">
        <v>0</v>
      </c>
      <c r="G5" s="242">
        <v>0</v>
      </c>
      <c r="H5" s="243">
        <v>0</v>
      </c>
      <c r="I5" s="272">
        <v>0</v>
      </c>
      <c r="J5" s="273">
        <v>12.2</v>
      </c>
      <c r="K5" s="274">
        <v>1</v>
      </c>
      <c r="L5" s="275">
        <f>AVERAGE(B5,C5,J5,K5)</f>
        <v>4.6500000000000004</v>
      </c>
      <c r="M5" s="275" t="e">
        <f>MODE(B5,C5,J5,K5)</f>
        <v>#N/A</v>
      </c>
      <c r="N5" s="275">
        <f>MEDIAN(B5,C5,J5,K5)</f>
        <v>2.7</v>
      </c>
      <c r="O5" s="247">
        <f t="shared" si="0"/>
        <v>-3.2500000000000004</v>
      </c>
      <c r="P5" s="250">
        <f t="shared" si="1"/>
        <v>-0.65000000000000036</v>
      </c>
      <c r="Q5" s="253">
        <f t="shared" si="2"/>
        <v>-4.6500000000000004</v>
      </c>
      <c r="R5" s="256">
        <f>J5-L5</f>
        <v>7.5499999999999989</v>
      </c>
      <c r="S5" s="258">
        <f t="shared" si="3"/>
        <v>-4.6500000000000004</v>
      </c>
      <c r="T5" s="242">
        <f t="shared" si="4"/>
        <v>-4.6500000000000004</v>
      </c>
      <c r="U5" s="243">
        <f t="shared" si="5"/>
        <v>-4.6500000000000004</v>
      </c>
      <c r="V5" s="262">
        <f t="shared" si="6"/>
        <v>-4.6500000000000004</v>
      </c>
      <c r="W5" s="264">
        <f t="shared" si="7"/>
        <v>7.5499999999999989</v>
      </c>
      <c r="X5" s="266">
        <f t="shared" si="8"/>
        <v>-3.6500000000000004</v>
      </c>
      <c r="Y5" s="234">
        <f t="shared" si="9"/>
        <v>4.6500000000000004</v>
      </c>
      <c r="Z5" s="234">
        <f t="shared" si="10"/>
        <v>7.5499999999999989</v>
      </c>
      <c r="AA5" s="276">
        <f t="shared" si="11"/>
        <v>7.5499999999999989</v>
      </c>
    </row>
    <row r="6" spans="1:27" ht="14.45" customHeight="1">
      <c r="A6" s="237" t="s">
        <v>170</v>
      </c>
      <c r="B6" s="247">
        <v>2000</v>
      </c>
      <c r="C6" s="250">
        <v>20145.7</v>
      </c>
      <c r="D6" s="253">
        <v>0</v>
      </c>
      <c r="E6" s="256">
        <v>0</v>
      </c>
      <c r="F6" s="258">
        <v>0</v>
      </c>
      <c r="G6" s="242">
        <v>4356</v>
      </c>
      <c r="H6" s="243">
        <v>150</v>
      </c>
      <c r="I6" s="272">
        <v>0</v>
      </c>
      <c r="J6" s="273">
        <v>0</v>
      </c>
      <c r="K6" s="274">
        <v>0</v>
      </c>
      <c r="L6" s="275">
        <f>AVERAGE(B6,C6,G6,H6)</f>
        <v>6662.9250000000002</v>
      </c>
      <c r="M6" s="275" t="e">
        <f>MODE(B6,C6,G6,H6)</f>
        <v>#N/A</v>
      </c>
      <c r="N6" s="275">
        <f>MEDIAN(B6,C6,G6,H6)</f>
        <v>3178</v>
      </c>
      <c r="O6" s="247">
        <f t="shared" si="0"/>
        <v>-4662.9250000000002</v>
      </c>
      <c r="P6" s="250">
        <f t="shared" si="1"/>
        <v>13482.775000000001</v>
      </c>
      <c r="Q6" s="253">
        <f t="shared" si="2"/>
        <v>-6662.9250000000002</v>
      </c>
      <c r="R6" s="256">
        <f>J6-L6</f>
        <v>-6662.9250000000002</v>
      </c>
      <c r="S6" s="258">
        <f t="shared" si="3"/>
        <v>-6662.9250000000002</v>
      </c>
      <c r="T6" s="242">
        <f t="shared" si="4"/>
        <v>-2306.9250000000002</v>
      </c>
      <c r="U6" s="243">
        <f t="shared" si="5"/>
        <v>-6512.9250000000002</v>
      </c>
      <c r="V6" s="262">
        <f t="shared" si="6"/>
        <v>-6662.9250000000002</v>
      </c>
      <c r="W6" s="264">
        <f t="shared" si="7"/>
        <v>-6662.9250000000002</v>
      </c>
      <c r="X6" s="266">
        <f t="shared" si="8"/>
        <v>-6662.9250000000002</v>
      </c>
      <c r="Y6" s="234">
        <f t="shared" si="9"/>
        <v>6662.9250000000002</v>
      </c>
      <c r="Z6" s="234">
        <f t="shared" si="10"/>
        <v>13482.775000000001</v>
      </c>
      <c r="AA6" s="276">
        <f t="shared" si="11"/>
        <v>13482.775000000001</v>
      </c>
    </row>
    <row r="7" spans="1:27" ht="14.45" customHeight="1">
      <c r="A7" s="236" t="s">
        <v>171</v>
      </c>
      <c r="B7" s="247">
        <v>800</v>
      </c>
      <c r="C7" s="250">
        <v>8034.6</v>
      </c>
      <c r="D7" s="253">
        <v>2945</v>
      </c>
      <c r="E7" s="256">
        <v>2953</v>
      </c>
      <c r="F7" s="258">
        <v>2827</v>
      </c>
      <c r="G7" s="242">
        <v>2280</v>
      </c>
      <c r="H7" s="243">
        <v>300</v>
      </c>
      <c r="I7" s="272">
        <v>0</v>
      </c>
      <c r="J7" s="273">
        <v>0</v>
      </c>
      <c r="K7" s="274">
        <v>0</v>
      </c>
      <c r="L7" s="275">
        <f>AVERAGE(B7,C7,D7,E7,F7,G7,H7)</f>
        <v>2877.0857142857139</v>
      </c>
      <c r="M7" s="275" t="e">
        <f>MODE(B7,C7,D7,E7,F7,G7,H7)</f>
        <v>#N/A</v>
      </c>
      <c r="N7" s="275">
        <f>MEDIAN(B7,C7,D7,E7,F7,G7,H7)</f>
        <v>2827</v>
      </c>
      <c r="O7" s="247">
        <f t="shared" si="0"/>
        <v>-2077.0857142857139</v>
      </c>
      <c r="P7" s="250">
        <f t="shared" si="1"/>
        <v>5157.5142857142864</v>
      </c>
      <c r="Q7" s="253">
        <f t="shared" si="2"/>
        <v>67.914285714286052</v>
      </c>
      <c r="R7" s="256">
        <f>J7-L7</f>
        <v>-2877.0857142857139</v>
      </c>
      <c r="S7" s="258">
        <f t="shared" si="3"/>
        <v>-50.085714285713948</v>
      </c>
      <c r="T7" s="242">
        <f t="shared" si="4"/>
        <v>-597.08571428571395</v>
      </c>
      <c r="U7" s="243">
        <f t="shared" si="5"/>
        <v>-2577.0857142857139</v>
      </c>
      <c r="V7" s="262">
        <f t="shared" si="6"/>
        <v>-2877.0857142857139</v>
      </c>
      <c r="W7" s="264">
        <f t="shared" si="7"/>
        <v>-2877.0857142857139</v>
      </c>
      <c r="X7" s="266">
        <f t="shared" si="8"/>
        <v>-2877.0857142857139</v>
      </c>
      <c r="Y7" s="234">
        <f t="shared" si="9"/>
        <v>2877.0857142857139</v>
      </c>
      <c r="Z7" s="234">
        <f t="shared" si="10"/>
        <v>5157.5142857142864</v>
      </c>
      <c r="AA7" s="276">
        <f t="shared" si="11"/>
        <v>5157.5142857142864</v>
      </c>
    </row>
    <row r="8" spans="1:27" ht="14.45" customHeight="1">
      <c r="A8" s="236" t="s">
        <v>172</v>
      </c>
      <c r="B8" s="247">
        <v>0</v>
      </c>
      <c r="C8" s="250">
        <v>22.73</v>
      </c>
      <c r="D8" s="253" t="s">
        <v>173</v>
      </c>
      <c r="E8" s="256" t="s">
        <v>173</v>
      </c>
      <c r="F8" s="258" t="s">
        <v>173</v>
      </c>
      <c r="G8" s="242" t="s">
        <v>173</v>
      </c>
      <c r="H8" s="243" t="s">
        <v>173</v>
      </c>
      <c r="I8" s="272" t="s">
        <v>173</v>
      </c>
      <c r="J8" s="273" t="s">
        <v>173</v>
      </c>
      <c r="K8" s="274" t="s">
        <v>173</v>
      </c>
      <c r="L8" s="275">
        <f>AVERAGE(B8,C8,J8,K8)</f>
        <v>11.365</v>
      </c>
      <c r="M8" s="275" t="s">
        <v>173</v>
      </c>
      <c r="N8" s="275" t="s">
        <v>173</v>
      </c>
      <c r="O8" s="247">
        <f t="shared" si="0"/>
        <v>-11.365</v>
      </c>
      <c r="P8" s="250">
        <f t="shared" si="1"/>
        <v>11.365</v>
      </c>
      <c r="Q8" s="253" t="e">
        <f t="shared" si="2"/>
        <v>#VALUE!</v>
      </c>
      <c r="R8" s="256" t="s">
        <v>173</v>
      </c>
      <c r="S8" s="258" t="e">
        <f t="shared" si="3"/>
        <v>#VALUE!</v>
      </c>
      <c r="T8" s="242" t="e">
        <f t="shared" si="4"/>
        <v>#VALUE!</v>
      </c>
      <c r="U8" s="243" t="e">
        <f t="shared" si="5"/>
        <v>#VALUE!</v>
      </c>
      <c r="V8" s="262" t="e">
        <f t="shared" si="6"/>
        <v>#VALUE!</v>
      </c>
      <c r="W8" s="264" t="e">
        <f t="shared" si="7"/>
        <v>#VALUE!</v>
      </c>
      <c r="X8" s="266" t="e">
        <f t="shared" si="8"/>
        <v>#VALUE!</v>
      </c>
      <c r="Y8" s="234" t="e">
        <f t="shared" si="9"/>
        <v>#VALUE!</v>
      </c>
      <c r="Z8" s="234" t="e">
        <f t="shared" si="10"/>
        <v>#VALUE!</v>
      </c>
      <c r="AA8" s="276" t="e">
        <f t="shared" si="11"/>
        <v>#VALUE!</v>
      </c>
    </row>
    <row r="9" spans="1:27" ht="14.45" customHeight="1">
      <c r="A9" s="236" t="s">
        <v>174</v>
      </c>
      <c r="B9" s="247">
        <v>180</v>
      </c>
      <c r="C9" s="250">
        <v>0</v>
      </c>
      <c r="D9" s="253">
        <v>833</v>
      </c>
      <c r="E9" s="256">
        <v>319</v>
      </c>
      <c r="F9" s="258">
        <v>272</v>
      </c>
      <c r="G9" s="242">
        <v>0</v>
      </c>
      <c r="H9" s="243">
        <v>0</v>
      </c>
      <c r="I9" s="272">
        <v>0</v>
      </c>
      <c r="J9" s="273">
        <v>1428</v>
      </c>
      <c r="K9" s="274">
        <v>0</v>
      </c>
      <c r="L9" s="275">
        <f>AVERAGE(B9,D9,E9,F9,J9)</f>
        <v>606.4</v>
      </c>
      <c r="M9" s="275" t="e">
        <f>MODE(B9,D9,E9,F9,J9)</f>
        <v>#N/A</v>
      </c>
      <c r="N9" s="275">
        <f>MEDIAN(B9,D9,E9,F9,J9)</f>
        <v>319</v>
      </c>
      <c r="O9" s="247">
        <f t="shared" si="0"/>
        <v>-426.4</v>
      </c>
      <c r="P9" s="250">
        <f t="shared" si="1"/>
        <v>-606.4</v>
      </c>
      <c r="Q9" s="253">
        <f t="shared" si="2"/>
        <v>226.60000000000002</v>
      </c>
      <c r="R9" s="256">
        <f>J9-L9</f>
        <v>821.6</v>
      </c>
      <c r="S9" s="258">
        <f t="shared" si="3"/>
        <v>-334.4</v>
      </c>
      <c r="T9" s="242">
        <f t="shared" si="4"/>
        <v>-606.4</v>
      </c>
      <c r="U9" s="243">
        <f t="shared" si="5"/>
        <v>-606.4</v>
      </c>
      <c r="V9" s="262">
        <f t="shared" si="6"/>
        <v>-606.4</v>
      </c>
      <c r="W9" s="264">
        <f t="shared" si="7"/>
        <v>821.6</v>
      </c>
      <c r="X9" s="266">
        <f t="shared" si="8"/>
        <v>-606.4</v>
      </c>
      <c r="Y9" s="234">
        <f t="shared" si="9"/>
        <v>606.4</v>
      </c>
      <c r="Z9" s="234">
        <f t="shared" si="10"/>
        <v>821.6</v>
      </c>
      <c r="AA9" s="276">
        <f t="shared" si="11"/>
        <v>821.6</v>
      </c>
    </row>
    <row r="10" spans="1:27" ht="14.45" customHeight="1" thickBot="1">
      <c r="A10" s="238" t="s">
        <v>175</v>
      </c>
      <c r="B10" s="248">
        <v>0</v>
      </c>
      <c r="C10" s="251">
        <v>9.8000000000000007</v>
      </c>
      <c r="D10" s="254">
        <v>13.9</v>
      </c>
      <c r="E10" s="257">
        <v>13.9</v>
      </c>
      <c r="F10" s="259">
        <v>11.7</v>
      </c>
      <c r="G10" s="244">
        <v>7.6</v>
      </c>
      <c r="H10" s="245">
        <v>4.3</v>
      </c>
      <c r="I10" s="277">
        <v>10</v>
      </c>
      <c r="J10" s="278">
        <v>20</v>
      </c>
      <c r="K10" s="279">
        <v>7.5</v>
      </c>
      <c r="L10" s="280">
        <f>AVERAGE(C10,D10,E10,F10,G10,H10,I10,J10,K10)</f>
        <v>10.966666666666665</v>
      </c>
      <c r="M10" s="280">
        <f>MODE(D10,E10,F10,G10,H10,I10,J10,K10)</f>
        <v>13.9</v>
      </c>
      <c r="N10" s="280">
        <f>MEDIAN(D10,E10,F10,G10,H10,I10,J10,K10)</f>
        <v>10.85</v>
      </c>
      <c r="O10" s="248">
        <f t="shared" si="0"/>
        <v>-10.966666666666665</v>
      </c>
      <c r="P10" s="251">
        <f t="shared" si="1"/>
        <v>-1.1666666666666643</v>
      </c>
      <c r="Q10" s="253">
        <f t="shared" si="2"/>
        <v>2.9333333333333353</v>
      </c>
      <c r="R10" s="257">
        <f>J10-L10</f>
        <v>9.033333333333335</v>
      </c>
      <c r="S10" s="258">
        <f t="shared" si="3"/>
        <v>0.73333333333333428</v>
      </c>
      <c r="T10" s="242">
        <f t="shared" si="4"/>
        <v>-3.3666666666666654</v>
      </c>
      <c r="U10" s="243">
        <f t="shared" si="5"/>
        <v>-6.6666666666666652</v>
      </c>
      <c r="V10" s="262">
        <f t="shared" si="6"/>
        <v>-0.96666666666666501</v>
      </c>
      <c r="W10" s="264">
        <f t="shared" si="7"/>
        <v>9.033333333333335</v>
      </c>
      <c r="X10" s="266">
        <f t="shared" si="8"/>
        <v>-3.466666666666665</v>
      </c>
      <c r="Y10" s="234">
        <f t="shared" si="9"/>
        <v>10.966666666666665</v>
      </c>
      <c r="Z10" s="234">
        <f t="shared" si="10"/>
        <v>9.033333333333335</v>
      </c>
      <c r="AA10" s="276">
        <f t="shared" si="11"/>
        <v>10.966666666666665</v>
      </c>
    </row>
    <row r="11" spans="1:27" ht="14.45" customHeight="1" thickBot="1">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c r="AA11" s="13"/>
    </row>
    <row r="12" spans="1:27" ht="14.45" customHeight="1">
      <c r="A12" s="235" t="s">
        <v>176</v>
      </c>
      <c r="B12" s="281" t="e">
        <f t="shared" ref="B12:K12" si="12">B2/(B10/100)</f>
        <v>#DIV/0!</v>
      </c>
      <c r="C12" s="281">
        <f t="shared" si="12"/>
        <v>0</v>
      </c>
      <c r="D12" s="281">
        <f t="shared" si="12"/>
        <v>17.122302158273378</v>
      </c>
      <c r="E12" s="281">
        <f t="shared" si="12"/>
        <v>17.985611510791365</v>
      </c>
      <c r="F12" s="281">
        <f t="shared" si="12"/>
        <v>21.452991452991451</v>
      </c>
      <c r="G12" s="281">
        <f t="shared" si="12"/>
        <v>10.657894736842106</v>
      </c>
      <c r="H12" s="281">
        <f t="shared" si="12"/>
        <v>25.581395348837212</v>
      </c>
      <c r="I12" s="281">
        <f t="shared" si="12"/>
        <v>21</v>
      </c>
      <c r="J12" s="281">
        <f t="shared" si="12"/>
        <v>14.065</v>
      </c>
      <c r="K12" s="282">
        <f t="shared" si="12"/>
        <v>20</v>
      </c>
      <c r="L12" s="14"/>
      <c r="M12" s="14"/>
      <c r="N12" s="14"/>
    </row>
    <row r="13" spans="1:27" ht="14.45" customHeight="1">
      <c r="A13" s="236" t="s">
        <v>177</v>
      </c>
      <c r="B13" s="233">
        <f t="shared" ref="B13:K13" si="13">B6/(B4*9.81)</f>
        <v>15.68258448992394</v>
      </c>
      <c r="C13" s="233">
        <f t="shared" si="13"/>
        <v>63.756230218295386</v>
      </c>
      <c r="D13" s="233">
        <f t="shared" si="13"/>
        <v>0</v>
      </c>
      <c r="E13" s="233">
        <f t="shared" si="13"/>
        <v>0</v>
      </c>
      <c r="F13" s="233">
        <f t="shared" si="13"/>
        <v>0</v>
      </c>
      <c r="G13" s="233">
        <f t="shared" si="13"/>
        <v>58.180908968514984</v>
      </c>
      <c r="H13" s="233">
        <f t="shared" si="13"/>
        <v>18.947360443216652</v>
      </c>
      <c r="I13" s="233">
        <f t="shared" si="13"/>
        <v>0</v>
      </c>
      <c r="J13" s="233">
        <f t="shared" si="13"/>
        <v>0</v>
      </c>
      <c r="K13" s="283">
        <f t="shared" si="13"/>
        <v>0</v>
      </c>
      <c r="L13" s="14"/>
      <c r="M13" s="14"/>
      <c r="N13" s="14"/>
    </row>
    <row r="14" spans="1:27" ht="14.45" customHeight="1">
      <c r="A14" s="236" t="s">
        <v>178</v>
      </c>
      <c r="B14" s="233">
        <f t="shared" ref="B14:K14" si="14">B7/(B4)</f>
        <v>61.53846153846154</v>
      </c>
      <c r="C14" s="233">
        <f t="shared" si="14"/>
        <v>249.44427196522818</v>
      </c>
      <c r="D14" s="233">
        <f t="shared" si="14"/>
        <v>113.26923076923077</v>
      </c>
      <c r="E14" s="233">
        <f t="shared" si="14"/>
        <v>140.61904761904762</v>
      </c>
      <c r="F14" s="233">
        <f t="shared" si="14"/>
        <v>130.87962962962962</v>
      </c>
      <c r="G14" s="233">
        <f t="shared" si="14"/>
        <v>298.74213836477986</v>
      </c>
      <c r="H14" s="233">
        <f t="shared" si="14"/>
        <v>371.74721189591077</v>
      </c>
      <c r="I14" s="233">
        <f t="shared" si="14"/>
        <v>0</v>
      </c>
      <c r="J14" s="233">
        <f t="shared" si="14"/>
        <v>0</v>
      </c>
      <c r="K14" s="283">
        <f t="shared" si="14"/>
        <v>0</v>
      </c>
      <c r="L14" s="14"/>
      <c r="M14" s="14"/>
      <c r="N14" s="14"/>
    </row>
    <row r="15" spans="1:27">
      <c r="A15" s="284" t="s">
        <v>179</v>
      </c>
      <c r="B15" s="233">
        <f>B14/9.81</f>
        <v>6.2730337959695754</v>
      </c>
      <c r="C15" s="233">
        <f t="shared" ref="C15:F15" si="15">C14/9.81</f>
        <v>25.427550659044666</v>
      </c>
      <c r="D15" s="233">
        <f t="shared" si="15"/>
        <v>11.5463028307065</v>
      </c>
      <c r="E15" s="233">
        <f t="shared" si="15"/>
        <v>14.334255618659288</v>
      </c>
      <c r="F15" s="233">
        <f t="shared" si="15"/>
        <v>13.341450522898024</v>
      </c>
      <c r="G15" s="233">
        <f>G14/9.81</f>
        <v>30.45281736644035</v>
      </c>
      <c r="H15" s="233">
        <f>H14/9.81</f>
        <v>37.894720886433305</v>
      </c>
      <c r="I15" s="233">
        <f>I14/9.81</f>
        <v>0</v>
      </c>
      <c r="J15" s="233">
        <f>J14/9.81</f>
        <v>0</v>
      </c>
      <c r="K15" s="283">
        <f>K14/9.81</f>
        <v>0</v>
      </c>
      <c r="L15" s="14"/>
      <c r="M15" s="14"/>
      <c r="N15" s="14"/>
    </row>
    <row r="16" spans="1:27">
      <c r="A16" s="236" t="s">
        <v>180</v>
      </c>
      <c r="B16" s="233">
        <f t="shared" ref="B16:K16" si="16">B7/(B4*9.81)</f>
        <v>6.2730337959695754</v>
      </c>
      <c r="C16" s="233">
        <f t="shared" si="16"/>
        <v>25.427550659044666</v>
      </c>
      <c r="D16" s="233">
        <f t="shared" si="16"/>
        <v>11.5463028307065</v>
      </c>
      <c r="E16" s="233">
        <f t="shared" si="16"/>
        <v>14.334255618659286</v>
      </c>
      <c r="F16" s="233">
        <f t="shared" si="16"/>
        <v>13.341450522898025</v>
      </c>
      <c r="G16" s="233">
        <f t="shared" si="16"/>
        <v>30.45281736644035</v>
      </c>
      <c r="H16" s="233">
        <f t="shared" si="16"/>
        <v>37.894720886433305</v>
      </c>
      <c r="I16" s="233">
        <f t="shared" si="16"/>
        <v>0</v>
      </c>
      <c r="J16" s="233">
        <f t="shared" si="16"/>
        <v>0</v>
      </c>
      <c r="K16" s="283">
        <f t="shared" si="16"/>
        <v>0</v>
      </c>
      <c r="L16" s="14"/>
      <c r="M16" s="14"/>
      <c r="N16" s="14"/>
    </row>
    <row r="17" spans="1:14" ht="15" thickBot="1">
      <c r="A17" s="238" t="s">
        <v>78</v>
      </c>
      <c r="B17" s="239">
        <f t="shared" ref="B17:K17" si="17">B9/330</f>
        <v>0.54545454545454541</v>
      </c>
      <c r="C17" s="239">
        <f t="shared" si="17"/>
        <v>0</v>
      </c>
      <c r="D17" s="239">
        <f t="shared" si="17"/>
        <v>2.5242424242424244</v>
      </c>
      <c r="E17" s="239">
        <f t="shared" si="17"/>
        <v>0.96666666666666667</v>
      </c>
      <c r="F17" s="239">
        <f t="shared" si="17"/>
        <v>0.82424242424242422</v>
      </c>
      <c r="G17" s="239">
        <f t="shared" si="17"/>
        <v>0</v>
      </c>
      <c r="H17" s="239">
        <f t="shared" si="17"/>
        <v>0</v>
      </c>
      <c r="I17" s="239">
        <f t="shared" si="17"/>
        <v>0</v>
      </c>
      <c r="J17" s="239">
        <f t="shared" si="17"/>
        <v>4.3272727272727272</v>
      </c>
      <c r="K17" s="285">
        <f t="shared" si="17"/>
        <v>0</v>
      </c>
      <c r="L17" s="14"/>
      <c r="M17" s="14"/>
      <c r="N17" s="14"/>
    </row>
    <row r="18" spans="1:14" ht="14.45" customHeight="1"/>
    <row r="19" spans="1:14">
      <c r="A19" s="13" t="s">
        <v>181</v>
      </c>
    </row>
  </sheetData>
  <autoFilter ref="A1:E8"/>
  <conditionalFormatting sqref="B9:F9">
    <cfRule type="colorScale" priority="1">
      <colorScale>
        <cfvo type="min"/>
        <cfvo type="percentile" val="50"/>
        <cfvo type="max"/>
        <color rgb="FFF8696B"/>
        <color rgb="FFFCFCFF"/>
        <color rgb="FF63BE7B"/>
      </colorScale>
    </cfRule>
  </conditionalFormatting>
  <conditionalFormatting sqref="B10:F10">
    <cfRule type="colorScale" priority="3">
      <colorScale>
        <cfvo type="min"/>
        <cfvo type="percentile" val="50"/>
        <cfvo type="max"/>
        <color rgb="FFF8696B"/>
        <color rgb="FFFCFCFF"/>
        <color rgb="FF63BE7B"/>
      </colorScale>
    </cfRule>
  </conditionalFormatting>
  <conditionalFormatting sqref="B12:K12">
    <cfRule type="colorScale" priority="7">
      <colorScale>
        <cfvo type="min"/>
        <cfvo type="percentile" val="50"/>
        <cfvo type="max"/>
        <color rgb="FFF8696B"/>
        <color rgb="FFFCFCFF"/>
        <color rgb="FF63BE7B"/>
      </colorScale>
    </cfRule>
  </conditionalFormatting>
  <conditionalFormatting sqref="B14:K14">
    <cfRule type="colorScale" priority="4">
      <colorScale>
        <cfvo type="min"/>
        <cfvo type="percentile" val="50"/>
        <cfvo type="max"/>
        <color rgb="FFF8696B"/>
        <color rgb="FFFCFCFF"/>
        <color rgb="FF63BE7B"/>
      </colorScale>
    </cfRule>
  </conditionalFormatting>
  <conditionalFormatting sqref="B15:K15">
    <cfRule type="colorScale" priority="5">
      <colorScale>
        <cfvo type="min"/>
        <cfvo type="percentile" val="50"/>
        <cfvo type="max"/>
        <color rgb="FFF8696B"/>
        <color rgb="FFFCFCFF"/>
        <color rgb="FF63BE7B"/>
      </colorScale>
    </cfRule>
  </conditionalFormatting>
  <conditionalFormatting sqref="B16:K16">
    <cfRule type="colorScale" priority="6">
      <colorScale>
        <cfvo type="min"/>
        <cfvo type="percentile" val="50"/>
        <cfvo type="max"/>
        <color rgb="FFF8696B"/>
        <color rgb="FFFCFCFF"/>
        <color rgb="FF63BE7B"/>
      </colorScale>
    </cfRule>
  </conditionalFormatting>
  <conditionalFormatting sqref="B17:K17">
    <cfRule type="colorScale" priority="2">
      <colorScale>
        <cfvo type="min"/>
        <cfvo type="percentile" val="50"/>
        <cfvo type="max"/>
        <color rgb="FFF8696B"/>
        <color rgb="FFFCFCFF"/>
        <color rgb="FF63BE7B"/>
      </colorScale>
    </cfRule>
  </conditionalFormatting>
  <pageMargins left="0.7" right="0.7" top="0.75" bottom="0.75" header="0.3" footer="0.3"/>
  <pageSetup orientation="portrait" r:id="rId1"/>
  <customProperties>
    <customPr name="DynardoMOPSolver" r:id="rId2"/>
  </customProperties>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1:X104"/>
  <sheetViews>
    <sheetView zoomScale="70" zoomScaleNormal="70" workbookViewId="0">
      <pane xSplit="1" ySplit="9" topLeftCell="B44" activePane="bottomRight" state="frozen"/>
      <selection pane="topRight" activeCell="B1" sqref="B1"/>
      <selection pane="bottomLeft" activeCell="A9" sqref="A9"/>
      <selection pane="bottomRight" activeCell="C8" sqref="C8"/>
    </sheetView>
  </sheetViews>
  <sheetFormatPr defaultColWidth="8.875" defaultRowHeight="14.25"/>
  <cols>
    <col min="1" max="1" width="1.125" style="1" customWidth="1"/>
    <col min="2" max="2" width="20.75" style="1" bestFit="1" customWidth="1"/>
    <col min="3" max="3" width="15.875" style="1" bestFit="1" customWidth="1"/>
    <col min="4" max="4" width="12.75" style="1" customWidth="1"/>
    <col min="5" max="6" width="11.875" style="1" bestFit="1" customWidth="1"/>
    <col min="7" max="7" width="8.875" style="1"/>
    <col min="8" max="8" width="13.75" style="1" bestFit="1" customWidth="1"/>
    <col min="9" max="9" width="11.875" style="1" bestFit="1" customWidth="1"/>
    <col min="10" max="10" width="8.875" style="1"/>
    <col min="11" max="11" width="13.125" style="1" customWidth="1"/>
    <col min="12" max="12" width="11.875" style="1" bestFit="1" customWidth="1"/>
    <col min="13" max="13" width="3.375" style="1" customWidth="1"/>
    <col min="14" max="14" width="11.25" style="1" customWidth="1"/>
    <col min="15" max="15" width="16.25" style="1" customWidth="1"/>
    <col min="16" max="20" width="8.875" style="1"/>
    <col min="21" max="21" width="11.375" style="1" bestFit="1" customWidth="1"/>
    <col min="22" max="22" width="12" style="1" bestFit="1" customWidth="1"/>
    <col min="23" max="16384" width="8.875" style="1"/>
  </cols>
  <sheetData>
    <row r="1" spans="2:22" ht="15" thickBot="1"/>
    <row r="2" spans="2:22" ht="37.15" customHeight="1">
      <c r="B2" s="314" t="s">
        <v>182</v>
      </c>
      <c r="C2" s="315"/>
    </row>
    <row r="3" spans="2:22">
      <c r="B3" s="3" t="s">
        <v>183</v>
      </c>
      <c r="C3" s="4">
        <f>2.5</f>
        <v>2.5</v>
      </c>
    </row>
    <row r="4" spans="2:22">
      <c r="B4" s="3" t="s">
        <v>184</v>
      </c>
      <c r="C4" s="4">
        <f>2.54*5</f>
        <v>12.7</v>
      </c>
    </row>
    <row r="5" spans="2:22">
      <c r="B5" s="196" t="s">
        <v>185</v>
      </c>
      <c r="C5" s="197">
        <v>15</v>
      </c>
    </row>
    <row r="6" spans="2:22">
      <c r="B6" s="196" t="s">
        <v>186</v>
      </c>
      <c r="C6" s="197">
        <v>10</v>
      </c>
    </row>
    <row r="7" spans="2:22">
      <c r="B7" s="196" t="s">
        <v>187</v>
      </c>
      <c r="C7" s="197">
        <v>30</v>
      </c>
    </row>
    <row r="8" spans="2:22">
      <c r="B8" s="196" t="s">
        <v>188</v>
      </c>
      <c r="C8" s="221">
        <f>D62*4+(PI()*(DiameterRocket/100)^2)/4</f>
        <v>1.3867686977437444E-2</v>
      </c>
    </row>
    <row r="9" spans="2:22" ht="15" thickBot="1">
      <c r="B9" s="5" t="s">
        <v>189</v>
      </c>
      <c r="C9" s="6">
        <v>20</v>
      </c>
    </row>
    <row r="10" spans="2:22" ht="15" thickBot="1"/>
    <row r="11" spans="2:22" ht="45" customHeight="1" thickBot="1">
      <c r="B11" s="8" t="s">
        <v>190</v>
      </c>
    </row>
    <row r="12" spans="2:22" ht="15" thickBot="1">
      <c r="B12" s="7" t="s">
        <v>191</v>
      </c>
      <c r="C12" s="318" t="s">
        <v>192</v>
      </c>
      <c r="D12" s="319"/>
      <c r="E12" s="319"/>
      <c r="F12" s="319"/>
      <c r="G12" s="320"/>
      <c r="H12" s="1" t="s">
        <v>193</v>
      </c>
      <c r="I12" s="1" t="s">
        <v>194</v>
      </c>
      <c r="J12" s="1" t="s">
        <v>195</v>
      </c>
      <c r="L12" s="72"/>
      <c r="M12" s="72"/>
      <c r="N12" s="8" t="s">
        <v>191</v>
      </c>
      <c r="O12" s="318" t="s">
        <v>196</v>
      </c>
      <c r="P12" s="319"/>
      <c r="Q12" s="319"/>
      <c r="R12" s="319"/>
      <c r="S12" s="320"/>
      <c r="T12" s="1" t="s">
        <v>193</v>
      </c>
      <c r="U12" s="1" t="s">
        <v>194</v>
      </c>
      <c r="V12" s="1" t="s">
        <v>195</v>
      </c>
    </row>
    <row r="13" spans="2:22">
      <c r="B13" s="316" t="s">
        <v>197</v>
      </c>
      <c r="C13" s="79"/>
      <c r="D13" s="80"/>
      <c r="E13" s="80"/>
      <c r="F13" s="80"/>
      <c r="G13" s="81"/>
      <c r="H13" s="1">
        <v>0</v>
      </c>
      <c r="I13" s="1">
        <v>0</v>
      </c>
      <c r="J13" s="1">
        <f>I13*-1</f>
        <v>0</v>
      </c>
      <c r="L13" s="72"/>
      <c r="M13" s="72"/>
      <c r="N13" s="316" t="s">
        <v>197</v>
      </c>
      <c r="O13" s="79"/>
      <c r="P13" s="80"/>
      <c r="Q13" s="80"/>
      <c r="R13" s="80"/>
      <c r="S13" s="81"/>
      <c r="T13" s="1">
        <v>0</v>
      </c>
      <c r="U13" s="1">
        <v>0</v>
      </c>
      <c r="V13" s="1">
        <f>U13*-1</f>
        <v>0</v>
      </c>
    </row>
    <row r="14" spans="2:22">
      <c r="B14" s="317"/>
      <c r="C14" s="82"/>
      <c r="D14" s="72"/>
      <c r="E14" s="72"/>
      <c r="F14" s="72"/>
      <c r="G14" s="83"/>
      <c r="H14" s="1">
        <f>(D26/8/2)</f>
        <v>1.875</v>
      </c>
      <c r="I14" s="1">
        <f t="shared" ref="I14:I22" si="0">H14*$D$24</f>
        <v>0.39687499999999998</v>
      </c>
      <c r="J14" s="1">
        <f t="shared" ref="J14:J22" si="1">I14*-1</f>
        <v>-0.39687499999999998</v>
      </c>
      <c r="L14" s="72"/>
      <c r="M14" s="72"/>
      <c r="N14" s="317"/>
      <c r="O14" s="82"/>
      <c r="P14" s="72"/>
      <c r="Q14" s="72"/>
      <c r="R14" s="72"/>
      <c r="S14" s="83"/>
      <c r="T14" s="1">
        <f>(P26/8/2)</f>
        <v>1.875</v>
      </c>
      <c r="U14" s="1">
        <f t="shared" ref="U14:U22" si="2">SQRT(Rogive^2-(LargeOgive-T14)^2)-(Rogive-$P$25/2)</f>
        <v>0.80028140974278017</v>
      </c>
      <c r="V14" s="1">
        <f>-U14</f>
        <v>-0.80028140974278017</v>
      </c>
    </row>
    <row r="15" spans="2:22">
      <c r="B15" s="317"/>
      <c r="C15" s="82"/>
      <c r="D15" s="72"/>
      <c r="E15" s="72"/>
      <c r="F15" s="72"/>
      <c r="G15" s="83"/>
      <c r="H15" s="1">
        <f>($D$26/8)+H14</f>
        <v>5.625</v>
      </c>
      <c r="I15" s="1">
        <f t="shared" si="0"/>
        <v>1.190625</v>
      </c>
      <c r="J15" s="1">
        <f t="shared" si="1"/>
        <v>-1.190625</v>
      </c>
      <c r="L15" s="72"/>
      <c r="M15" s="72"/>
      <c r="N15" s="317"/>
      <c r="O15" s="82"/>
      <c r="P15" s="72"/>
      <c r="Q15" s="72"/>
      <c r="R15" s="72"/>
      <c r="S15" s="83"/>
      <c r="T15" s="1">
        <f>($D$26/8)+T14</f>
        <v>5.625</v>
      </c>
      <c r="U15" s="1">
        <f t="shared" si="2"/>
        <v>2.2227341724329506</v>
      </c>
      <c r="V15" s="1">
        <f t="shared" ref="V15:V22" si="3">-U15</f>
        <v>-2.2227341724329506</v>
      </c>
    </row>
    <row r="16" spans="2:22">
      <c r="B16" s="317"/>
      <c r="C16" s="82"/>
      <c r="D16" s="72"/>
      <c r="E16" s="72"/>
      <c r="F16" s="72"/>
      <c r="G16" s="83"/>
      <c r="H16" s="1">
        <f t="shared" ref="H16:H21" si="4">($D$26/8)+H15</f>
        <v>9.375</v>
      </c>
      <c r="I16" s="1">
        <f t="shared" si="0"/>
        <v>1.984375</v>
      </c>
      <c r="J16" s="1">
        <f t="shared" si="1"/>
        <v>-1.984375</v>
      </c>
      <c r="L16" s="72"/>
      <c r="M16" s="72"/>
      <c r="N16" s="317"/>
      <c r="O16" s="82"/>
      <c r="P16" s="72"/>
      <c r="Q16" s="72"/>
      <c r="R16" s="72"/>
      <c r="S16" s="83"/>
      <c r="T16" s="1">
        <f t="shared" ref="T16:T21" si="5">($D$26/8)+T15</f>
        <v>9.375</v>
      </c>
      <c r="U16" s="1">
        <f t="shared" si="2"/>
        <v>3.4193360049676613</v>
      </c>
      <c r="V16" s="1">
        <f t="shared" si="3"/>
        <v>-3.4193360049676613</v>
      </c>
    </row>
    <row r="17" spans="2:22">
      <c r="B17" s="317"/>
      <c r="C17" s="82"/>
      <c r="D17" s="72"/>
      <c r="E17" s="72"/>
      <c r="F17" s="72"/>
      <c r="G17" s="83"/>
      <c r="H17" s="1">
        <f t="shared" si="4"/>
        <v>13.125</v>
      </c>
      <c r="I17" s="1">
        <f t="shared" si="0"/>
        <v>2.7781250000000002</v>
      </c>
      <c r="J17" s="1">
        <f t="shared" si="1"/>
        <v>-2.7781250000000002</v>
      </c>
      <c r="L17" s="72"/>
      <c r="M17" s="72"/>
      <c r="N17" s="317"/>
      <c r="O17" s="82"/>
      <c r="P17" s="72"/>
      <c r="Q17" s="72"/>
      <c r="R17" s="72"/>
      <c r="S17" s="83"/>
      <c r="T17" s="1">
        <f t="shared" si="5"/>
        <v>13.125</v>
      </c>
      <c r="U17" s="1">
        <f t="shared" si="2"/>
        <v>4.4013339085217069</v>
      </c>
      <c r="V17" s="1">
        <f t="shared" si="3"/>
        <v>-4.4013339085217069</v>
      </c>
    </row>
    <row r="18" spans="2:22">
      <c r="B18" s="317"/>
      <c r="C18" s="82"/>
      <c r="D18" s="72"/>
      <c r="E18" s="72"/>
      <c r="F18" s="72"/>
      <c r="G18" s="83"/>
      <c r="H18" s="1">
        <f t="shared" si="4"/>
        <v>16.875</v>
      </c>
      <c r="I18" s="1">
        <f t="shared" si="0"/>
        <v>3.5718749999999999</v>
      </c>
      <c r="J18" s="1">
        <f t="shared" si="1"/>
        <v>-3.5718749999999999</v>
      </c>
      <c r="L18" s="72"/>
      <c r="M18" s="72"/>
      <c r="N18" s="317"/>
      <c r="O18" s="82"/>
      <c r="P18" s="72"/>
      <c r="Q18" s="72"/>
      <c r="R18" s="72"/>
      <c r="S18" s="83"/>
      <c r="T18" s="1">
        <f>($D$26/8)+T17</f>
        <v>16.875</v>
      </c>
      <c r="U18" s="1">
        <f t="shared" si="2"/>
        <v>5.1774045961570891</v>
      </c>
      <c r="V18" s="1">
        <f t="shared" si="3"/>
        <v>-5.1774045961570891</v>
      </c>
    </row>
    <row r="19" spans="2:22">
      <c r="B19" s="317"/>
      <c r="C19" s="82"/>
      <c r="D19" s="72"/>
      <c r="E19" s="72"/>
      <c r="F19" s="72"/>
      <c r="G19" s="83"/>
      <c r="H19" s="1">
        <f t="shared" si="4"/>
        <v>20.625</v>
      </c>
      <c r="I19" s="1">
        <f t="shared" si="0"/>
        <v>4.3656249999999996</v>
      </c>
      <c r="J19" s="1">
        <f t="shared" si="1"/>
        <v>-4.3656249999999996</v>
      </c>
      <c r="L19" s="72"/>
      <c r="M19" s="72"/>
      <c r="N19" s="317"/>
      <c r="O19" s="82"/>
      <c r="P19" s="72"/>
      <c r="Q19" s="72"/>
      <c r="R19" s="72"/>
      <c r="S19" s="83"/>
      <c r="T19" s="1">
        <f t="shared" si="5"/>
        <v>20.625</v>
      </c>
      <c r="U19" s="1">
        <f t="shared" si="2"/>
        <v>5.7540762469702145</v>
      </c>
      <c r="V19" s="1">
        <f t="shared" si="3"/>
        <v>-5.7540762469702145</v>
      </c>
    </row>
    <row r="20" spans="2:22">
      <c r="B20" s="317"/>
      <c r="C20" s="82"/>
      <c r="D20" s="72"/>
      <c r="E20" s="72"/>
      <c r="F20" s="72"/>
      <c r="G20" s="83"/>
      <c r="H20" s="1">
        <f t="shared" si="4"/>
        <v>24.375</v>
      </c>
      <c r="I20" s="1">
        <f t="shared" si="0"/>
        <v>5.1593749999999998</v>
      </c>
      <c r="J20" s="1">
        <f t="shared" si="1"/>
        <v>-5.1593749999999998</v>
      </c>
      <c r="L20" s="72"/>
      <c r="M20" s="72"/>
      <c r="N20" s="317"/>
      <c r="O20" s="82"/>
      <c r="P20" s="72"/>
      <c r="Q20" s="72"/>
      <c r="R20" s="72"/>
      <c r="S20" s="83"/>
      <c r="T20" s="1">
        <f t="shared" si="5"/>
        <v>24.375</v>
      </c>
      <c r="U20" s="1">
        <f t="shared" si="2"/>
        <v>6.1360215886791423</v>
      </c>
      <c r="V20" s="1">
        <f t="shared" si="3"/>
        <v>-6.1360215886791423</v>
      </c>
    </row>
    <row r="21" spans="2:22">
      <c r="B21" s="317"/>
      <c r="C21" s="82"/>
      <c r="D21" s="72"/>
      <c r="E21" s="72"/>
      <c r="F21" s="72"/>
      <c r="G21" s="83"/>
      <c r="H21" s="1">
        <f t="shared" si="4"/>
        <v>28.125</v>
      </c>
      <c r="I21" s="1">
        <f t="shared" si="0"/>
        <v>5.953125</v>
      </c>
      <c r="J21" s="1">
        <f t="shared" si="1"/>
        <v>-5.953125</v>
      </c>
      <c r="L21" s="72"/>
      <c r="M21" s="72"/>
      <c r="N21" s="317"/>
      <c r="O21" s="82"/>
      <c r="P21" s="72"/>
      <c r="Q21" s="72"/>
      <c r="R21" s="72"/>
      <c r="S21" s="83"/>
      <c r="T21" s="1">
        <f t="shared" si="5"/>
        <v>28.125</v>
      </c>
      <c r="U21" s="1">
        <f t="shared" si="2"/>
        <v>6.3262551688511195</v>
      </c>
      <c r="V21" s="1">
        <f t="shared" si="3"/>
        <v>-6.3262551688511195</v>
      </c>
    </row>
    <row r="22" spans="2:22" ht="15" thickBot="1">
      <c r="B22" s="317"/>
      <c r="C22" s="82"/>
      <c r="D22" s="72"/>
      <c r="E22" s="72"/>
      <c r="F22" s="72"/>
      <c r="G22" s="83"/>
      <c r="H22" s="1">
        <f>D26</f>
        <v>30</v>
      </c>
      <c r="I22" s="1">
        <f t="shared" si="0"/>
        <v>6.35</v>
      </c>
      <c r="J22" s="1">
        <f t="shared" si="1"/>
        <v>-6.35</v>
      </c>
      <c r="L22" s="72"/>
      <c r="M22" s="72"/>
      <c r="N22" s="321"/>
      <c r="O22" s="82"/>
      <c r="P22" s="72"/>
      <c r="Q22" s="72"/>
      <c r="R22" s="72"/>
      <c r="S22" s="83"/>
      <c r="T22" s="1">
        <f>P26</f>
        <v>30</v>
      </c>
      <c r="U22" s="1">
        <f t="shared" si="2"/>
        <v>6.3499999999999943</v>
      </c>
      <c r="V22" s="1">
        <f t="shared" si="3"/>
        <v>-6.3499999999999943</v>
      </c>
    </row>
    <row r="23" spans="2:22" ht="14.45" customHeight="1">
      <c r="B23" s="325" t="s">
        <v>198</v>
      </c>
      <c r="C23" s="74"/>
      <c r="D23" s="73" t="s">
        <v>193</v>
      </c>
      <c r="E23" s="73"/>
      <c r="F23" s="73"/>
      <c r="G23" s="73"/>
      <c r="K23" s="323"/>
      <c r="N23" s="324" t="s">
        <v>198</v>
      </c>
      <c r="O23" s="74" t="s">
        <v>199</v>
      </c>
      <c r="P23" s="73">
        <f>((P25/2)^2+P26^2)/(2*(P25/2))</f>
        <v>74.041141732283464</v>
      </c>
      <c r="Q23" s="73"/>
      <c r="R23" s="73"/>
      <c r="S23" s="73"/>
    </row>
    <row r="24" spans="2:22">
      <c r="B24" s="325"/>
      <c r="C24" s="75" t="s">
        <v>200</v>
      </c>
      <c r="D24" s="1">
        <f>(F25/2)/(F26)</f>
        <v>0.21166666666666667</v>
      </c>
      <c r="K24" s="323"/>
      <c r="N24" s="325"/>
      <c r="O24" s="75" t="s">
        <v>200</v>
      </c>
      <c r="P24" s="1" t="s">
        <v>201</v>
      </c>
    </row>
    <row r="25" spans="2:22">
      <c r="B25" s="325"/>
      <c r="C25" s="75" t="s">
        <v>202</v>
      </c>
      <c r="D25" s="1">
        <f>DiameterRocket</f>
        <v>12.7</v>
      </c>
      <c r="E25" s="1" t="s">
        <v>203</v>
      </c>
      <c r="F25" s="1">
        <f>D25/100</f>
        <v>0.127</v>
      </c>
      <c r="G25" s="1" t="s">
        <v>204</v>
      </c>
      <c r="K25" s="323"/>
      <c r="N25" s="325"/>
      <c r="O25" s="75" t="s">
        <v>202</v>
      </c>
      <c r="P25" s="1">
        <f>DiameterRocket</f>
        <v>12.7</v>
      </c>
      <c r="Q25" s="1" t="s">
        <v>203</v>
      </c>
      <c r="R25" s="1">
        <f>P25/100</f>
        <v>0.127</v>
      </c>
      <c r="S25" s="1" t="s">
        <v>204</v>
      </c>
    </row>
    <row r="26" spans="2:22" ht="14.45" customHeight="1">
      <c r="B26" s="325"/>
      <c r="C26" s="76" t="s">
        <v>205</v>
      </c>
      <c r="D26" s="77">
        <v>30</v>
      </c>
      <c r="E26" s="77" t="s">
        <v>203</v>
      </c>
      <c r="F26" s="77">
        <f>D26/100</f>
        <v>0.3</v>
      </c>
      <c r="G26" s="77" t="s">
        <v>204</v>
      </c>
      <c r="K26" s="323"/>
      <c r="N26" s="325"/>
      <c r="O26" s="76" t="s">
        <v>205</v>
      </c>
      <c r="P26" s="77">
        <v>30</v>
      </c>
      <c r="Q26" s="77" t="s">
        <v>203</v>
      </c>
      <c r="R26" s="77">
        <f>P26/100</f>
        <v>0.3</v>
      </c>
      <c r="S26" s="77" t="s">
        <v>204</v>
      </c>
    </row>
    <row r="27" spans="2:22" ht="29.45" customHeight="1">
      <c r="B27" s="2" t="s">
        <v>206</v>
      </c>
      <c r="C27" s="326" t="s">
        <v>207</v>
      </c>
      <c r="D27" s="326"/>
      <c r="E27" s="326"/>
      <c r="F27" s="326"/>
      <c r="G27" s="326"/>
      <c r="L27" s="72"/>
      <c r="M27" s="72"/>
      <c r="N27" s="2" t="s">
        <v>206</v>
      </c>
      <c r="O27" s="326" t="s">
        <v>207</v>
      </c>
      <c r="P27" s="326"/>
      <c r="Q27" s="326"/>
      <c r="R27" s="326"/>
      <c r="S27" s="326"/>
    </row>
    <row r="28" spans="2:22" ht="57">
      <c r="B28" s="2" t="s">
        <v>208</v>
      </c>
      <c r="C28" s="10" t="s">
        <v>209</v>
      </c>
      <c r="D28" s="9"/>
      <c r="E28" s="9"/>
      <c r="F28" s="9"/>
      <c r="G28" s="9"/>
      <c r="L28" s="78"/>
      <c r="M28" s="72"/>
      <c r="N28" s="2" t="s">
        <v>208</v>
      </c>
      <c r="O28" s="10" t="s">
        <v>209</v>
      </c>
      <c r="P28" s="9"/>
      <c r="Q28" s="9"/>
      <c r="R28" s="9"/>
      <c r="S28" s="9"/>
    </row>
    <row r="29" spans="2:22" ht="15" customHeight="1" thickBot="1"/>
    <row r="30" spans="2:22" ht="15" thickBot="1">
      <c r="B30" s="8" t="s">
        <v>191</v>
      </c>
      <c r="H30" s="1" t="s">
        <v>193</v>
      </c>
      <c r="I30" s="1" t="s">
        <v>194</v>
      </c>
      <c r="J30" s="1" t="s">
        <v>195</v>
      </c>
    </row>
    <row r="31" spans="2:22">
      <c r="B31" s="316" t="s">
        <v>210</v>
      </c>
      <c r="C31" s="314"/>
      <c r="D31" s="327"/>
      <c r="E31" s="327"/>
      <c r="F31" s="327"/>
      <c r="G31" s="315"/>
      <c r="H31" s="1">
        <f>H22</f>
        <v>30</v>
      </c>
      <c r="I31" s="1">
        <f>$D$42/2</f>
        <v>6.35</v>
      </c>
      <c r="J31" s="1">
        <f>I31*-1</f>
        <v>-6.35</v>
      </c>
    </row>
    <row r="32" spans="2:22">
      <c r="B32" s="317"/>
      <c r="C32" s="328"/>
      <c r="D32" s="322"/>
      <c r="E32" s="322"/>
      <c r="F32" s="322"/>
      <c r="G32" s="329"/>
      <c r="H32" s="12">
        <f>(D43/8/2)+H31</f>
        <v>36.25</v>
      </c>
      <c r="I32" s="1">
        <f t="shared" ref="I32:I40" si="6">$D$42/2</f>
        <v>6.35</v>
      </c>
      <c r="J32" s="1">
        <f t="shared" ref="J32:J40" si="7">I32*-1</f>
        <v>-6.35</v>
      </c>
    </row>
    <row r="33" spans="2:24">
      <c r="B33" s="317"/>
      <c r="C33" s="328"/>
      <c r="D33" s="322"/>
      <c r="E33" s="322"/>
      <c r="F33" s="322"/>
      <c r="G33" s="329"/>
      <c r="H33" s="12">
        <f>($D$43/8/2)*2+(H32)</f>
        <v>48.75</v>
      </c>
      <c r="I33" s="1">
        <f t="shared" si="6"/>
        <v>6.35</v>
      </c>
      <c r="J33" s="1">
        <f t="shared" si="7"/>
        <v>-6.35</v>
      </c>
    </row>
    <row r="34" spans="2:24">
      <c r="B34" s="317"/>
      <c r="C34" s="328"/>
      <c r="D34" s="322"/>
      <c r="E34" s="322"/>
      <c r="F34" s="322"/>
      <c r="G34" s="329"/>
      <c r="H34" s="12">
        <f t="shared" ref="H34:H39" si="8">($D$43/8/2)*2+(H33)</f>
        <v>61.25</v>
      </c>
      <c r="I34" s="1">
        <f t="shared" si="6"/>
        <v>6.35</v>
      </c>
      <c r="J34" s="1">
        <f t="shared" si="7"/>
        <v>-6.35</v>
      </c>
    </row>
    <row r="35" spans="2:24">
      <c r="B35" s="317"/>
      <c r="C35" s="328"/>
      <c r="D35" s="322"/>
      <c r="E35" s="322"/>
      <c r="F35" s="322"/>
      <c r="G35" s="329"/>
      <c r="H35" s="12">
        <f t="shared" si="8"/>
        <v>73.75</v>
      </c>
      <c r="I35" s="1">
        <f t="shared" si="6"/>
        <v>6.35</v>
      </c>
      <c r="J35" s="1">
        <f t="shared" si="7"/>
        <v>-6.35</v>
      </c>
    </row>
    <row r="36" spans="2:24">
      <c r="B36" s="317"/>
      <c r="C36" s="328"/>
      <c r="D36" s="322"/>
      <c r="E36" s="322"/>
      <c r="F36" s="322"/>
      <c r="G36" s="329"/>
      <c r="H36" s="12">
        <f t="shared" si="8"/>
        <v>86.25</v>
      </c>
      <c r="I36" s="1">
        <f t="shared" si="6"/>
        <v>6.35</v>
      </c>
      <c r="J36" s="1">
        <f t="shared" si="7"/>
        <v>-6.35</v>
      </c>
    </row>
    <row r="37" spans="2:24">
      <c r="B37" s="317"/>
      <c r="C37" s="328"/>
      <c r="D37" s="322"/>
      <c r="E37" s="322"/>
      <c r="F37" s="322"/>
      <c r="G37" s="329"/>
      <c r="H37" s="12">
        <f t="shared" si="8"/>
        <v>98.75</v>
      </c>
      <c r="I37" s="1">
        <f t="shared" si="6"/>
        <v>6.35</v>
      </c>
      <c r="J37" s="1">
        <f t="shared" si="7"/>
        <v>-6.35</v>
      </c>
    </row>
    <row r="38" spans="2:24">
      <c r="B38" s="317"/>
      <c r="C38" s="328"/>
      <c r="D38" s="322"/>
      <c r="E38" s="322"/>
      <c r="F38" s="322"/>
      <c r="G38" s="329"/>
      <c r="H38" s="12">
        <f t="shared" si="8"/>
        <v>111.25</v>
      </c>
      <c r="I38" s="1">
        <f t="shared" si="6"/>
        <v>6.35</v>
      </c>
      <c r="J38" s="1">
        <f t="shared" si="7"/>
        <v>-6.35</v>
      </c>
    </row>
    <row r="39" spans="2:24" ht="14.45" customHeight="1">
      <c r="B39" s="317"/>
      <c r="C39" s="328"/>
      <c r="D39" s="322"/>
      <c r="E39" s="322"/>
      <c r="F39" s="322"/>
      <c r="G39" s="329"/>
      <c r="H39" s="12">
        <f t="shared" si="8"/>
        <v>123.75</v>
      </c>
      <c r="I39" s="1">
        <f t="shared" si="6"/>
        <v>6.35</v>
      </c>
      <c r="J39" s="1">
        <f t="shared" si="7"/>
        <v>-6.35</v>
      </c>
    </row>
    <row r="40" spans="2:24" ht="15" thickBot="1">
      <c r="B40" s="321"/>
      <c r="C40" s="330"/>
      <c r="D40" s="331"/>
      <c r="E40" s="331"/>
      <c r="F40" s="331"/>
      <c r="G40" s="332"/>
      <c r="H40" s="12">
        <f>D43+H22</f>
        <v>130</v>
      </c>
      <c r="I40" s="1">
        <f t="shared" si="6"/>
        <v>6.35</v>
      </c>
      <c r="J40" s="1">
        <f t="shared" si="7"/>
        <v>-6.35</v>
      </c>
    </row>
    <row r="41" spans="2:24" ht="28.5">
      <c r="B41" s="326" t="s">
        <v>198</v>
      </c>
      <c r="C41" s="1" t="s">
        <v>211</v>
      </c>
      <c r="H41" s="12"/>
    </row>
    <row r="42" spans="2:24">
      <c r="B42" s="322"/>
      <c r="C42" s="1" t="s">
        <v>202</v>
      </c>
      <c r="D42" s="1">
        <f>DiameterRocket</f>
        <v>12.7</v>
      </c>
      <c r="E42" s="1" t="s">
        <v>203</v>
      </c>
      <c r="F42" s="1">
        <f>D42/100</f>
        <v>0.127</v>
      </c>
      <c r="G42" s="1" t="s">
        <v>204</v>
      </c>
      <c r="H42" s="12"/>
    </row>
    <row r="43" spans="2:24" ht="28.9" customHeight="1">
      <c r="B43" s="322"/>
      <c r="C43" s="1" t="s">
        <v>212</v>
      </c>
      <c r="D43" s="1">
        <v>100</v>
      </c>
      <c r="E43" s="1" t="s">
        <v>203</v>
      </c>
      <c r="F43" s="1">
        <f>D43/100</f>
        <v>1</v>
      </c>
      <c r="G43" s="1" t="s">
        <v>204</v>
      </c>
    </row>
    <row r="44" spans="2:24">
      <c r="B44" s="2" t="s">
        <v>206</v>
      </c>
      <c r="C44" s="322" t="s">
        <v>213</v>
      </c>
      <c r="D44" s="322"/>
      <c r="E44" s="322"/>
      <c r="F44" s="322"/>
      <c r="G44" s="322"/>
    </row>
    <row r="45" spans="2:24">
      <c r="B45" s="322" t="s">
        <v>208</v>
      </c>
    </row>
    <row r="46" spans="2:24">
      <c r="B46" s="322"/>
    </row>
    <row r="47" spans="2:24" ht="15" thickBot="1">
      <c r="B47" s="322"/>
    </row>
    <row r="48" spans="2:24" ht="15" customHeight="1" thickBot="1">
      <c r="K48" s="333" t="s">
        <v>214</v>
      </c>
      <c r="L48" s="335"/>
      <c r="W48" s="323" t="s">
        <v>214</v>
      </c>
      <c r="X48" s="323"/>
    </row>
    <row r="49" spans="2:24" ht="15" thickBot="1">
      <c r="B49" s="8" t="s">
        <v>191</v>
      </c>
      <c r="C49" s="333" t="s">
        <v>215</v>
      </c>
      <c r="D49" s="334"/>
      <c r="E49" s="334"/>
      <c r="F49" s="334"/>
      <c r="G49" s="335"/>
      <c r="H49" s="51" t="s">
        <v>193</v>
      </c>
      <c r="I49" s="52" t="s">
        <v>216</v>
      </c>
      <c r="J49" s="53" t="s">
        <v>217</v>
      </c>
      <c r="K49" s="51" t="s">
        <v>218</v>
      </c>
      <c r="L49" s="53" t="s">
        <v>216</v>
      </c>
      <c r="N49" s="8" t="s">
        <v>191</v>
      </c>
      <c r="O49" s="333" t="s">
        <v>219</v>
      </c>
      <c r="P49" s="334"/>
      <c r="Q49" s="334"/>
      <c r="R49" s="334"/>
      <c r="S49" s="335"/>
      <c r="T49" s="1" t="s">
        <v>193</v>
      </c>
      <c r="U49" s="1" t="s">
        <v>216</v>
      </c>
      <c r="V49" s="1" t="s">
        <v>217</v>
      </c>
      <c r="W49" s="1" t="s">
        <v>216</v>
      </c>
      <c r="X49" s="1" t="s">
        <v>220</v>
      </c>
    </row>
    <row r="50" spans="2:24">
      <c r="B50" s="316" t="s">
        <v>221</v>
      </c>
      <c r="C50" s="314"/>
      <c r="D50" s="327"/>
      <c r="E50" s="327"/>
      <c r="F50" s="327"/>
      <c r="G50" s="315"/>
      <c r="H50" s="94">
        <f>($H$40-D68-D65)</f>
        <v>110</v>
      </c>
      <c r="I50" s="95">
        <f t="shared" ref="I50:I58" si="9">IF(((($D$67)/($D$65-$D$64))*(H50-$H$50)+$I$40)&gt;($D$67+$I$40),($D$67+$I$40),(($D$67)/($D$65-$D$64))*(H50-$H$50)+$I$40)</f>
        <v>6.35</v>
      </c>
      <c r="J50" s="96">
        <f>I50*-1</f>
        <v>-6.35</v>
      </c>
      <c r="K50" s="100">
        <f>D61/D60</f>
        <v>84.59999999999998</v>
      </c>
      <c r="L50" s="101">
        <f>0</f>
        <v>0</v>
      </c>
      <c r="N50" s="316" t="s">
        <v>221</v>
      </c>
      <c r="O50" s="314"/>
      <c r="P50" s="327"/>
      <c r="Q50" s="327"/>
      <c r="R50" s="327"/>
      <c r="S50" s="315"/>
      <c r="T50" s="12">
        <f>($H$40-P68-P65)</f>
        <v>110</v>
      </c>
      <c r="U50" s="1">
        <f t="shared" ref="U50:U58" si="10">IF(((($D$67)/($D$65-$D$64))*(T50-$H$50)+$I$40)&gt;($D$67+$I$40),($D$67+$I$40),(($D$67)/($D$65-$D$64))*(T50-$H$50)+$I$40)</f>
        <v>6.35</v>
      </c>
      <c r="V50" s="12">
        <f>U50*-1</f>
        <v>-6.35</v>
      </c>
      <c r="W50" s="1">
        <f>0</f>
        <v>0</v>
      </c>
    </row>
    <row r="51" spans="2:24">
      <c r="B51" s="317"/>
      <c r="C51" s="328"/>
      <c r="D51" s="322"/>
      <c r="E51" s="322"/>
      <c r="F51" s="322"/>
      <c r="G51" s="329"/>
      <c r="H51" s="94">
        <f>(H58-H50)/8/2+H50</f>
        <v>110.9375</v>
      </c>
      <c r="I51" s="95">
        <f t="shared" si="9"/>
        <v>10.1</v>
      </c>
      <c r="J51" s="96">
        <f t="shared" ref="J51:J57" si="11">I51*-1</f>
        <v>-10.1</v>
      </c>
      <c r="K51" s="100">
        <f>H50</f>
        <v>110</v>
      </c>
      <c r="L51" s="101">
        <v>3</v>
      </c>
      <c r="N51" s="317"/>
      <c r="O51" s="328"/>
      <c r="P51" s="322"/>
      <c r="Q51" s="322"/>
      <c r="R51" s="322"/>
      <c r="S51" s="329"/>
      <c r="T51" s="1">
        <f>(T58-T50)/8/2+T50</f>
        <v>110.9375</v>
      </c>
      <c r="U51" s="1">
        <f t="shared" si="10"/>
        <v>10.1</v>
      </c>
      <c r="V51" s="12">
        <f t="shared" ref="V51:V57" si="12">U51*-1</f>
        <v>-10.1</v>
      </c>
      <c r="W51" s="1">
        <v>3</v>
      </c>
      <c r="X51" s="1">
        <v>-3</v>
      </c>
    </row>
    <row r="52" spans="2:24">
      <c r="B52" s="317"/>
      <c r="C52" s="328"/>
      <c r="D52" s="322"/>
      <c r="E52" s="322"/>
      <c r="F52" s="322"/>
      <c r="G52" s="329"/>
      <c r="H52" s="94">
        <f t="shared" ref="H52:H57" si="13">($H$58-$H$50)/8+H51</f>
        <v>112.8125</v>
      </c>
      <c r="I52" s="95">
        <f t="shared" si="9"/>
        <v>17.600000000000001</v>
      </c>
      <c r="J52" s="96">
        <f t="shared" si="11"/>
        <v>-17.600000000000001</v>
      </c>
      <c r="K52" s="94">
        <f>H51</f>
        <v>110.9375</v>
      </c>
      <c r="L52" s="96">
        <f>I51</f>
        <v>10.1</v>
      </c>
      <c r="N52" s="317"/>
      <c r="O52" s="328"/>
      <c r="P52" s="322"/>
      <c r="Q52" s="322"/>
      <c r="R52" s="322"/>
      <c r="S52" s="329"/>
      <c r="T52" s="1">
        <f t="shared" ref="T52:T57" si="14">($H$58-$H$50)/8+T51</f>
        <v>112.8125</v>
      </c>
      <c r="U52" s="1">
        <f t="shared" si="10"/>
        <v>17.600000000000001</v>
      </c>
      <c r="V52" s="12">
        <f t="shared" si="12"/>
        <v>-17.600000000000001</v>
      </c>
      <c r="W52" s="1">
        <v>3.46875</v>
      </c>
      <c r="X52" s="1">
        <v>-3.46875</v>
      </c>
    </row>
    <row r="53" spans="2:24">
      <c r="B53" s="317"/>
      <c r="C53" s="328"/>
      <c r="D53" s="322"/>
      <c r="E53" s="322"/>
      <c r="F53" s="322"/>
      <c r="G53" s="329"/>
      <c r="H53" s="94">
        <f t="shared" si="13"/>
        <v>114.6875</v>
      </c>
      <c r="I53" s="95">
        <f t="shared" si="9"/>
        <v>25.1</v>
      </c>
      <c r="J53" s="96">
        <f t="shared" si="11"/>
        <v>-25.1</v>
      </c>
      <c r="K53" s="94">
        <f t="shared" ref="K53:K57" si="15">H52</f>
        <v>112.8125</v>
      </c>
      <c r="L53" s="96">
        <f t="shared" ref="L53:L57" si="16">I52</f>
        <v>17.600000000000001</v>
      </c>
      <c r="N53" s="317"/>
      <c r="O53" s="328"/>
      <c r="P53" s="322"/>
      <c r="Q53" s="322"/>
      <c r="R53" s="322"/>
      <c r="S53" s="329"/>
      <c r="T53" s="1">
        <f t="shared" si="14"/>
        <v>114.6875</v>
      </c>
      <c r="U53" s="1">
        <f t="shared" si="10"/>
        <v>25.1</v>
      </c>
      <c r="V53" s="12">
        <f t="shared" si="12"/>
        <v>-25.1</v>
      </c>
      <c r="W53" s="1">
        <v>4.40625</v>
      </c>
      <c r="X53" s="1">
        <v>-4.40625</v>
      </c>
    </row>
    <row r="54" spans="2:24">
      <c r="B54" s="317"/>
      <c r="C54" s="328"/>
      <c r="D54" s="322"/>
      <c r="E54" s="322"/>
      <c r="F54" s="322"/>
      <c r="G54" s="329"/>
      <c r="H54" s="94">
        <f t="shared" si="13"/>
        <v>116.5625</v>
      </c>
      <c r="I54" s="95">
        <f t="shared" si="9"/>
        <v>26.35</v>
      </c>
      <c r="J54" s="96">
        <f t="shared" si="11"/>
        <v>-26.35</v>
      </c>
      <c r="K54" s="94">
        <f t="shared" si="15"/>
        <v>114.6875</v>
      </c>
      <c r="L54" s="96">
        <f t="shared" si="16"/>
        <v>25.1</v>
      </c>
      <c r="N54" s="317"/>
      <c r="O54" s="328"/>
      <c r="P54" s="322"/>
      <c r="Q54" s="322"/>
      <c r="R54" s="322"/>
      <c r="S54" s="329"/>
      <c r="T54" s="1">
        <f t="shared" si="14"/>
        <v>116.5625</v>
      </c>
      <c r="U54" s="1">
        <f t="shared" si="10"/>
        <v>26.35</v>
      </c>
      <c r="V54" s="12">
        <f t="shared" si="12"/>
        <v>-26.35</v>
      </c>
      <c r="W54" s="1">
        <v>5.34375</v>
      </c>
      <c r="X54" s="1">
        <v>-5.34375</v>
      </c>
    </row>
    <row r="55" spans="2:24">
      <c r="B55" s="317"/>
      <c r="C55" s="328"/>
      <c r="D55" s="322"/>
      <c r="E55" s="322"/>
      <c r="F55" s="322"/>
      <c r="G55" s="329"/>
      <c r="H55" s="94">
        <f t="shared" si="13"/>
        <v>118.4375</v>
      </c>
      <c r="I55" s="95">
        <f t="shared" si="9"/>
        <v>26.35</v>
      </c>
      <c r="J55" s="96">
        <f t="shared" si="11"/>
        <v>-26.35</v>
      </c>
      <c r="K55" s="94">
        <f t="shared" si="15"/>
        <v>116.5625</v>
      </c>
      <c r="L55" s="96">
        <f t="shared" si="16"/>
        <v>26.35</v>
      </c>
      <c r="N55" s="317"/>
      <c r="O55" s="328"/>
      <c r="P55" s="322"/>
      <c r="Q55" s="322"/>
      <c r="R55" s="322"/>
      <c r="S55" s="329"/>
      <c r="T55" s="1">
        <f t="shared" si="14"/>
        <v>118.4375</v>
      </c>
      <c r="U55" s="1">
        <f t="shared" si="10"/>
        <v>26.35</v>
      </c>
      <c r="V55" s="12">
        <f t="shared" si="12"/>
        <v>-26.35</v>
      </c>
      <c r="W55" s="1">
        <v>6.28125</v>
      </c>
      <c r="X55" s="1">
        <v>-6.28125</v>
      </c>
    </row>
    <row r="56" spans="2:24">
      <c r="B56" s="317"/>
      <c r="C56" s="328"/>
      <c r="D56" s="322"/>
      <c r="E56" s="322"/>
      <c r="F56" s="322"/>
      <c r="G56" s="329"/>
      <c r="H56" s="94">
        <f t="shared" si="13"/>
        <v>120.3125</v>
      </c>
      <c r="I56" s="95">
        <f t="shared" si="9"/>
        <v>26.35</v>
      </c>
      <c r="J56" s="96">
        <f t="shared" si="11"/>
        <v>-26.35</v>
      </c>
      <c r="K56" s="94">
        <f t="shared" si="15"/>
        <v>118.4375</v>
      </c>
      <c r="L56" s="96">
        <f t="shared" si="16"/>
        <v>26.35</v>
      </c>
      <c r="N56" s="317"/>
      <c r="O56" s="328"/>
      <c r="P56" s="322"/>
      <c r="Q56" s="322"/>
      <c r="R56" s="322"/>
      <c r="S56" s="329"/>
      <c r="T56" s="1">
        <f t="shared" si="14"/>
        <v>120.3125</v>
      </c>
      <c r="U56" s="1">
        <f t="shared" si="10"/>
        <v>26.35</v>
      </c>
      <c r="V56" s="12">
        <f t="shared" si="12"/>
        <v>-26.35</v>
      </c>
      <c r="W56" s="1">
        <v>7.21875</v>
      </c>
      <c r="X56" s="1">
        <v>-7.21875</v>
      </c>
    </row>
    <row r="57" spans="2:24">
      <c r="B57" s="317"/>
      <c r="C57" s="328"/>
      <c r="D57" s="322"/>
      <c r="E57" s="322"/>
      <c r="F57" s="322"/>
      <c r="G57" s="329"/>
      <c r="H57" s="94">
        <f t="shared" si="13"/>
        <v>122.1875</v>
      </c>
      <c r="I57" s="95">
        <f t="shared" si="9"/>
        <v>26.35</v>
      </c>
      <c r="J57" s="96">
        <f t="shared" si="11"/>
        <v>-26.35</v>
      </c>
      <c r="K57" s="94">
        <f t="shared" si="15"/>
        <v>120.3125</v>
      </c>
      <c r="L57" s="96">
        <f t="shared" si="16"/>
        <v>26.35</v>
      </c>
      <c r="N57" s="317"/>
      <c r="O57" s="328"/>
      <c r="P57" s="322"/>
      <c r="Q57" s="322"/>
      <c r="R57" s="322"/>
      <c r="S57" s="329"/>
      <c r="T57" s="1">
        <f t="shared" si="14"/>
        <v>122.1875</v>
      </c>
      <c r="U57" s="1">
        <f t="shared" si="10"/>
        <v>26.35</v>
      </c>
      <c r="V57" s="12">
        <f t="shared" si="12"/>
        <v>-26.35</v>
      </c>
      <c r="W57" s="1">
        <v>8</v>
      </c>
      <c r="X57" s="1">
        <v>-8</v>
      </c>
    </row>
    <row r="58" spans="2:24">
      <c r="B58" s="317"/>
      <c r="C58" s="328"/>
      <c r="D58" s="322"/>
      <c r="E58" s="322"/>
      <c r="F58" s="322"/>
      <c r="G58" s="329"/>
      <c r="H58" s="94">
        <f>$H$50+D65</f>
        <v>125</v>
      </c>
      <c r="I58" s="95">
        <f t="shared" si="9"/>
        <v>26.35</v>
      </c>
      <c r="J58" s="96">
        <f>I58*-1</f>
        <v>-26.35</v>
      </c>
      <c r="K58" s="94">
        <f>H58</f>
        <v>125</v>
      </c>
      <c r="L58" s="96">
        <f>IF(((($D$67)/($D$65-$D$64))*(K58-$H$50)+$I$40)&gt;($D$67+$I$40),($D$67+$I$40),(($D$67)/($D$65-$D$64))*(K58-$H$50)+$I$40)</f>
        <v>26.35</v>
      </c>
      <c r="N58" s="317"/>
      <c r="O58" s="328"/>
      <c r="P58" s="322"/>
      <c r="Q58" s="322"/>
      <c r="R58" s="322"/>
      <c r="S58" s="329"/>
      <c r="T58" s="12">
        <f>$H$50+P65</f>
        <v>125</v>
      </c>
      <c r="U58" s="1">
        <f t="shared" si="10"/>
        <v>26.35</v>
      </c>
      <c r="V58" s="12">
        <f>U58*-1</f>
        <v>-26.35</v>
      </c>
      <c r="W58" s="1">
        <v>8</v>
      </c>
      <c r="X58" s="1">
        <v>-8</v>
      </c>
    </row>
    <row r="59" spans="2:24" ht="15" customHeight="1" thickBot="1">
      <c r="B59" s="321"/>
      <c r="C59" s="336"/>
      <c r="D59" s="337"/>
      <c r="E59" s="337"/>
      <c r="F59" s="337"/>
      <c r="G59" s="338"/>
      <c r="H59" s="97">
        <f>H58</f>
        <v>125</v>
      </c>
      <c r="I59" s="98">
        <f>IF(((($D$67)/($D$65-$D$64))*(H59-$H$50)+$I$40)&gt;($D$67+$I$40),($D$67+$I$40),(($D$67)/($D$65-$D$64))*(H59-$H$50)+$I$40)-IF(((($D$67)/($D$65-$D$64))*(H59-$H$50)+$I$40)&gt;($D$67+$I$40),($D$67+$I$40),(($D$67)/($D$65-$D$64))*(H59-$H$50)+$I$40)+$I$40</f>
        <v>6.35</v>
      </c>
      <c r="J59" s="99">
        <f>I59*-1</f>
        <v>-6.35</v>
      </c>
      <c r="K59" s="100">
        <f>K58</f>
        <v>125</v>
      </c>
      <c r="L59" s="101">
        <f>L50</f>
        <v>0</v>
      </c>
      <c r="N59" s="321"/>
      <c r="O59" s="330"/>
      <c r="P59" s="331"/>
      <c r="Q59" s="331"/>
      <c r="R59" s="331"/>
      <c r="S59" s="332"/>
      <c r="T59" s="12">
        <f>T58</f>
        <v>125</v>
      </c>
      <c r="U59" s="1">
        <f>IF(((($D$67)/($D$65-$D$64))*(T59-$H$50)+$I$40)&gt;($D$67+$I$40),($D$67+$I$40),(($D$67)/($D$65-$D$64))*(T59-$H$50)+$I$40)-IF(((($D$67)/($D$65-$D$64))*(T59-$H$50)+$I$40)&gt;($D$67+$I$40),($D$67+$I$40),(($D$67)/($D$65-$D$64))*(T59-$H$50)+$I$40)+$I$40</f>
        <v>6.35</v>
      </c>
      <c r="V59" s="12">
        <f>U59*-1</f>
        <v>-6.35</v>
      </c>
    </row>
    <row r="60" spans="2:24" ht="16.149999999999999" customHeight="1">
      <c r="B60" s="339" t="s">
        <v>198</v>
      </c>
      <c r="C60" s="90" t="s">
        <v>222</v>
      </c>
      <c r="D60" s="54">
        <f>TAN(RADIANS(F60))</f>
        <v>0.24999999999999981</v>
      </c>
      <c r="E60" s="84" t="s">
        <v>223</v>
      </c>
      <c r="F60" s="56">
        <f>90-DEGREES(ATAN(D67/(D65-D64)))</f>
        <v>14.036243467926468</v>
      </c>
      <c r="G60" s="57" t="s">
        <v>224</v>
      </c>
      <c r="H60" s="344" t="s">
        <v>225</v>
      </c>
      <c r="I60" s="345"/>
      <c r="J60" s="346"/>
      <c r="K60" s="90" t="s">
        <v>226</v>
      </c>
      <c r="L60" s="57">
        <f>K67^2/K68</f>
        <v>1.0456349206349203</v>
      </c>
      <c r="N60" s="326" t="s">
        <v>198</v>
      </c>
      <c r="O60" s="1" t="s">
        <v>227</v>
      </c>
    </row>
    <row r="61" spans="2:24" ht="16.149999999999999" customHeight="1" thickBot="1">
      <c r="B61" s="340"/>
      <c r="C61" s="89" t="s">
        <v>228</v>
      </c>
      <c r="D61" s="91">
        <f>-I50+D60*H50</f>
        <v>21.149999999999977</v>
      </c>
      <c r="E61" s="86"/>
      <c r="F61" s="61"/>
      <c r="G61" s="62"/>
      <c r="H61" s="347"/>
      <c r="I61" s="348"/>
      <c r="J61" s="349"/>
      <c r="K61" s="89"/>
      <c r="L61" s="62"/>
      <c r="N61" s="326"/>
    </row>
    <row r="62" spans="2:24" ht="27.6" customHeight="1">
      <c r="B62" s="340"/>
      <c r="C62" s="88" t="s">
        <v>229</v>
      </c>
      <c r="D62" s="220">
        <f>(D63/1000)*(I63/100)</f>
        <v>2.9999999999999997E-4</v>
      </c>
      <c r="E62" s="1" t="s">
        <v>230</v>
      </c>
      <c r="H62" s="92" t="s">
        <v>231</v>
      </c>
      <c r="I62" s="1" t="s">
        <v>232</v>
      </c>
      <c r="L62" s="59"/>
      <c r="N62" s="326"/>
    </row>
    <row r="63" spans="2:24" ht="27.6" customHeight="1">
      <c r="B63" s="340"/>
      <c r="C63" s="88" t="s">
        <v>233</v>
      </c>
      <c r="D63" s="87">
        <v>2</v>
      </c>
      <c r="E63" s="1" t="s">
        <v>234</v>
      </c>
      <c r="H63" s="85" t="s">
        <v>235</v>
      </c>
      <c r="I63" s="1">
        <v>15</v>
      </c>
      <c r="L63" s="59"/>
      <c r="N63" s="326"/>
    </row>
    <row r="64" spans="2:24">
      <c r="B64" s="341"/>
      <c r="C64" s="85" t="s">
        <v>236</v>
      </c>
      <c r="D64" s="58">
        <f>C6</f>
        <v>10</v>
      </c>
      <c r="E64" s="1" t="s">
        <v>203</v>
      </c>
      <c r="F64" s="1">
        <f>D64/100</f>
        <v>0.1</v>
      </c>
      <c r="G64" s="1" t="s">
        <v>204</v>
      </c>
      <c r="H64" s="85" t="s">
        <v>236</v>
      </c>
      <c r="I64" s="1">
        <f>D64</f>
        <v>10</v>
      </c>
      <c r="J64" s="1" t="s">
        <v>203</v>
      </c>
      <c r="K64" s="1">
        <f>I64/100</f>
        <v>0.1</v>
      </c>
      <c r="L64" s="59" t="s">
        <v>204</v>
      </c>
      <c r="N64" s="326"/>
      <c r="O64" s="1" t="s">
        <v>236</v>
      </c>
      <c r="P64" s="1">
        <f>C6</f>
        <v>10</v>
      </c>
      <c r="Q64" s="1" t="s">
        <v>203</v>
      </c>
      <c r="R64" s="1">
        <f>P64/100</f>
        <v>0.1</v>
      </c>
      <c r="S64" s="1" t="s">
        <v>204</v>
      </c>
    </row>
    <row r="65" spans="2:19">
      <c r="B65" s="342"/>
      <c r="C65" s="85" t="s">
        <v>237</v>
      </c>
      <c r="D65" s="58">
        <f>C5</f>
        <v>15</v>
      </c>
      <c r="E65" s="1" t="s">
        <v>203</v>
      </c>
      <c r="F65" s="1">
        <f>D65/100</f>
        <v>0.15</v>
      </c>
      <c r="G65" s="1" t="s">
        <v>204</v>
      </c>
      <c r="H65" s="85" t="s">
        <v>237</v>
      </c>
      <c r="I65" s="12">
        <f>K59-K50</f>
        <v>40.40000000000002</v>
      </c>
      <c r="J65" s="1" t="s">
        <v>203</v>
      </c>
      <c r="K65" s="1">
        <f t="shared" ref="K65:K67" si="17">I65/100</f>
        <v>0.40400000000000019</v>
      </c>
      <c r="L65" s="59" t="s">
        <v>204</v>
      </c>
      <c r="N65" s="322"/>
      <c r="O65" s="1" t="s">
        <v>237</v>
      </c>
      <c r="P65" s="1">
        <f>C5</f>
        <v>15</v>
      </c>
      <c r="Q65" s="1" t="s">
        <v>203</v>
      </c>
      <c r="R65" s="1">
        <f>P65/100</f>
        <v>0.15</v>
      </c>
      <c r="S65" s="1" t="s">
        <v>204</v>
      </c>
    </row>
    <row r="66" spans="2:19">
      <c r="B66" s="342"/>
      <c r="C66" s="85" t="s">
        <v>238</v>
      </c>
      <c r="D66" s="58">
        <f>D64/D65</f>
        <v>0.66666666666666663</v>
      </c>
      <c r="E66" s="1" t="s">
        <v>201</v>
      </c>
      <c r="H66" s="85" t="s">
        <v>238</v>
      </c>
      <c r="I66" s="1">
        <f>I64/I65</f>
        <v>0.24752475247524741</v>
      </c>
      <c r="J66" s="1" t="s">
        <v>201</v>
      </c>
      <c r="K66" s="1">
        <f>I66</f>
        <v>0.24752475247524741</v>
      </c>
      <c r="L66" s="59"/>
      <c r="N66" s="322"/>
    </row>
    <row r="67" spans="2:19">
      <c r="B67" s="342"/>
      <c r="C67" s="85" t="s">
        <v>239</v>
      </c>
      <c r="D67" s="58">
        <f>C9</f>
        <v>20</v>
      </c>
      <c r="E67" s="1" t="s">
        <v>203</v>
      </c>
      <c r="F67" s="1">
        <f>D67/100</f>
        <v>0.2</v>
      </c>
      <c r="G67" s="1" t="s">
        <v>204</v>
      </c>
      <c r="H67" s="85" t="s">
        <v>240</v>
      </c>
      <c r="I67" s="1">
        <f>(D67+D42/2)*2</f>
        <v>52.7</v>
      </c>
      <c r="J67" s="1" t="s">
        <v>203</v>
      </c>
      <c r="K67" s="1">
        <f t="shared" si="17"/>
        <v>0.52700000000000002</v>
      </c>
      <c r="L67" s="59" t="s">
        <v>204</v>
      </c>
      <c r="N67" s="322"/>
      <c r="O67" s="1" t="s">
        <v>239</v>
      </c>
      <c r="P67" s="1">
        <f>C9</f>
        <v>20</v>
      </c>
      <c r="Q67" s="1" t="s">
        <v>203</v>
      </c>
      <c r="R67" s="1">
        <f>P67/100</f>
        <v>0.2</v>
      </c>
      <c r="S67" s="1" t="s">
        <v>204</v>
      </c>
    </row>
    <row r="68" spans="2:19" ht="29.25" thickBot="1">
      <c r="B68" s="343"/>
      <c r="C68" s="86" t="s">
        <v>241</v>
      </c>
      <c r="D68" s="60">
        <v>5</v>
      </c>
      <c r="E68" s="61" t="s">
        <v>203</v>
      </c>
      <c r="F68" s="61">
        <f>D68/100</f>
        <v>0.05</v>
      </c>
      <c r="G68" s="61" t="s">
        <v>204</v>
      </c>
      <c r="H68" s="86" t="s">
        <v>242</v>
      </c>
      <c r="I68" s="61">
        <f>(I64+I65)*(I67/2)</f>
        <v>1328.0400000000006</v>
      </c>
      <c r="J68" s="61" t="s">
        <v>243</v>
      </c>
      <c r="K68" s="61">
        <f>(K64+K65)*K67</f>
        <v>0.26560800000000012</v>
      </c>
      <c r="L68" s="62" t="s">
        <v>230</v>
      </c>
      <c r="N68" s="322"/>
      <c r="O68" s="1" t="s">
        <v>241</v>
      </c>
      <c r="P68" s="1">
        <v>5</v>
      </c>
      <c r="Q68" s="1" t="s">
        <v>203</v>
      </c>
      <c r="R68" s="1">
        <f>P68/100</f>
        <v>0.05</v>
      </c>
      <c r="S68" s="1" t="s">
        <v>204</v>
      </c>
    </row>
    <row r="69" spans="2:19" ht="72.599999999999994" customHeight="1">
      <c r="B69" s="55" t="s">
        <v>206</v>
      </c>
      <c r="C69" s="326" t="s">
        <v>244</v>
      </c>
      <c r="D69" s="326"/>
      <c r="E69" s="326"/>
      <c r="F69" s="326"/>
      <c r="G69" s="326"/>
      <c r="N69" s="2" t="s">
        <v>206</v>
      </c>
      <c r="O69" s="322" t="s">
        <v>245</v>
      </c>
      <c r="P69" s="322"/>
      <c r="Q69" s="322"/>
      <c r="R69" s="322"/>
      <c r="S69" s="322"/>
    </row>
    <row r="70" spans="2:19">
      <c r="B70" s="322" t="s">
        <v>208</v>
      </c>
      <c r="C70" s="74"/>
      <c r="D70" s="73"/>
      <c r="E70" s="73"/>
      <c r="F70" s="73"/>
      <c r="G70" s="102"/>
      <c r="N70" s="322" t="s">
        <v>208</v>
      </c>
    </row>
    <row r="71" spans="2:19">
      <c r="B71" s="322"/>
      <c r="C71" s="75"/>
      <c r="G71" s="103"/>
      <c r="N71" s="322"/>
    </row>
    <row r="72" spans="2:19">
      <c r="B72" s="322"/>
      <c r="C72" s="76"/>
      <c r="D72" s="77"/>
      <c r="E72" s="77"/>
      <c r="F72" s="77"/>
      <c r="G72" s="104"/>
      <c r="N72" s="322"/>
    </row>
    <row r="73" spans="2:19" ht="15" thickBot="1"/>
    <row r="74" spans="2:19" ht="15" thickBot="1">
      <c r="B74" s="93" t="s">
        <v>246</v>
      </c>
    </row>
    <row r="76" spans="2:19" ht="28.5">
      <c r="B76" s="1" t="s">
        <v>247</v>
      </c>
      <c r="C76" s="1" t="s">
        <v>215</v>
      </c>
      <c r="D76" s="1" t="s">
        <v>248</v>
      </c>
      <c r="E76" s="1" t="s">
        <v>249</v>
      </c>
      <c r="F76" s="1" t="s">
        <v>250</v>
      </c>
      <c r="G76" s="1" t="s">
        <v>251</v>
      </c>
    </row>
    <row r="77" spans="2:19">
      <c r="B77" s="1" t="s">
        <v>236</v>
      </c>
      <c r="C77" s="95">
        <f t="shared" ref="C77:C81" si="18">I64</f>
        <v>10</v>
      </c>
      <c r="D77" s="95">
        <f t="shared" ref="D77:D81" si="19">K64</f>
        <v>0.1</v>
      </c>
      <c r="E77" s="95"/>
      <c r="F77" s="95"/>
      <c r="G77" s="95"/>
    </row>
    <row r="78" spans="2:19">
      <c r="B78" s="1" t="s">
        <v>237</v>
      </c>
      <c r="C78" s="95">
        <f t="shared" si="18"/>
        <v>40.40000000000002</v>
      </c>
      <c r="D78" s="95">
        <f t="shared" si="19"/>
        <v>0.40400000000000019</v>
      </c>
      <c r="E78" s="95"/>
      <c r="F78" s="95"/>
      <c r="G78" s="95"/>
    </row>
    <row r="79" spans="2:19">
      <c r="B79" s="1" t="s">
        <v>238</v>
      </c>
      <c r="C79" s="95">
        <f t="shared" si="18"/>
        <v>0.24752475247524741</v>
      </c>
      <c r="D79" s="95">
        <f t="shared" si="19"/>
        <v>0.24752475247524741</v>
      </c>
      <c r="E79" s="95"/>
      <c r="F79" s="95"/>
      <c r="G79" s="95"/>
    </row>
    <row r="80" spans="2:19">
      <c r="B80" s="1" t="s">
        <v>240</v>
      </c>
      <c r="C80" s="95">
        <f t="shared" si="18"/>
        <v>52.7</v>
      </c>
      <c r="D80" s="95">
        <f t="shared" si="19"/>
        <v>0.52700000000000002</v>
      </c>
      <c r="E80" s="95"/>
      <c r="F80" s="95"/>
      <c r="G80" s="95"/>
    </row>
    <row r="81" spans="2:10">
      <c r="B81" s="1" t="s">
        <v>252</v>
      </c>
      <c r="C81" s="95">
        <f t="shared" si="18"/>
        <v>1328.0400000000006</v>
      </c>
      <c r="D81" s="95">
        <f t="shared" si="19"/>
        <v>0.26560800000000012</v>
      </c>
      <c r="E81" s="95"/>
      <c r="F81" s="95"/>
      <c r="G81" s="95"/>
    </row>
    <row r="86" spans="2:10" ht="15" thickBot="1"/>
    <row r="87" spans="2:10" ht="15" thickBot="1">
      <c r="B87" s="8" t="s">
        <v>191</v>
      </c>
      <c r="H87" s="1" t="s">
        <v>193</v>
      </c>
      <c r="I87" s="1" t="s">
        <v>194</v>
      </c>
      <c r="J87" s="1" t="s">
        <v>195</v>
      </c>
    </row>
    <row r="88" spans="2:10">
      <c r="B88" s="316" t="s">
        <v>253</v>
      </c>
      <c r="C88" s="314"/>
      <c r="D88" s="327"/>
      <c r="E88" s="327"/>
      <c r="F88" s="327"/>
      <c r="G88" s="315"/>
      <c r="H88" s="11">
        <f>H40</f>
        <v>130</v>
      </c>
      <c r="I88" s="11">
        <f>D99/2</f>
        <v>6.35</v>
      </c>
      <c r="J88" s="11">
        <f>I88*-1</f>
        <v>-6.35</v>
      </c>
    </row>
    <row r="89" spans="2:10">
      <c r="B89" s="317"/>
      <c r="C89" s="328"/>
      <c r="D89" s="322"/>
      <c r="E89" s="322"/>
      <c r="F89" s="322"/>
      <c r="G89" s="329"/>
      <c r="H89" s="11">
        <f>($D$100/8/2)+H88</f>
        <v>130.5</v>
      </c>
      <c r="I89" s="11">
        <f>(($I$97-$I$88)/($H$97-$H$88))*(H89-$H$88)+$I$88</f>
        <v>6.09375</v>
      </c>
      <c r="J89" s="11">
        <f t="shared" ref="J89:J98" si="20">I89*-1</f>
        <v>-6.09375</v>
      </c>
    </row>
    <row r="90" spans="2:10">
      <c r="B90" s="317"/>
      <c r="C90" s="328"/>
      <c r="D90" s="322"/>
      <c r="E90" s="322"/>
      <c r="F90" s="322"/>
      <c r="G90" s="329"/>
      <c r="H90" s="11">
        <f>($D$100/8)+H89</f>
        <v>131.5</v>
      </c>
      <c r="I90" s="11">
        <f t="shared" ref="I90:I96" si="21">(($I$97-$I$88)/($H$97-$H$88))*(H90-$H$88)+$I$88</f>
        <v>5.5812499999999998</v>
      </c>
      <c r="J90" s="11">
        <f t="shared" si="20"/>
        <v>-5.5812499999999998</v>
      </c>
    </row>
    <row r="91" spans="2:10">
      <c r="B91" s="317"/>
      <c r="C91" s="328"/>
      <c r="D91" s="322"/>
      <c r="E91" s="322"/>
      <c r="F91" s="322"/>
      <c r="G91" s="329"/>
      <c r="H91" s="11">
        <f t="shared" ref="H91:H96" si="22">($D$100/8)+H90</f>
        <v>132.5</v>
      </c>
      <c r="I91" s="11">
        <f t="shared" si="21"/>
        <v>5.0687499999999996</v>
      </c>
      <c r="J91" s="11">
        <f t="shared" si="20"/>
        <v>-5.0687499999999996</v>
      </c>
    </row>
    <row r="92" spans="2:10">
      <c r="B92" s="317"/>
      <c r="C92" s="328"/>
      <c r="D92" s="322"/>
      <c r="E92" s="322"/>
      <c r="F92" s="322"/>
      <c r="G92" s="329"/>
      <c r="H92" s="11">
        <f t="shared" si="22"/>
        <v>133.5</v>
      </c>
      <c r="I92" s="11">
        <f t="shared" si="21"/>
        <v>4.5562500000000004</v>
      </c>
      <c r="J92" s="11">
        <f t="shared" si="20"/>
        <v>-4.5562500000000004</v>
      </c>
    </row>
    <row r="93" spans="2:10">
      <c r="B93" s="317"/>
      <c r="C93" s="328"/>
      <c r="D93" s="322"/>
      <c r="E93" s="322"/>
      <c r="F93" s="322"/>
      <c r="G93" s="329"/>
      <c r="H93" s="11">
        <f t="shared" si="22"/>
        <v>134.5</v>
      </c>
      <c r="I93" s="11">
        <f t="shared" si="21"/>
        <v>4.0437499999999993</v>
      </c>
      <c r="J93" s="11">
        <f t="shared" si="20"/>
        <v>-4.0437499999999993</v>
      </c>
    </row>
    <row r="94" spans="2:10">
      <c r="B94" s="317"/>
      <c r="C94" s="328"/>
      <c r="D94" s="322"/>
      <c r="E94" s="322"/>
      <c r="F94" s="322"/>
      <c r="G94" s="329"/>
      <c r="H94" s="11">
        <f t="shared" si="22"/>
        <v>135.5</v>
      </c>
      <c r="I94" s="11">
        <f t="shared" si="21"/>
        <v>3.53125</v>
      </c>
      <c r="J94" s="11">
        <f t="shared" si="20"/>
        <v>-3.53125</v>
      </c>
    </row>
    <row r="95" spans="2:10">
      <c r="B95" s="317"/>
      <c r="C95" s="328"/>
      <c r="D95" s="322"/>
      <c r="E95" s="322"/>
      <c r="F95" s="322"/>
      <c r="G95" s="329"/>
      <c r="H95" s="11">
        <f t="shared" si="22"/>
        <v>136.5</v>
      </c>
      <c r="I95" s="11">
        <f t="shared" si="21"/>
        <v>3.0187499999999998</v>
      </c>
      <c r="J95" s="11">
        <f t="shared" si="20"/>
        <v>-3.0187499999999998</v>
      </c>
    </row>
    <row r="96" spans="2:10">
      <c r="B96" s="317"/>
      <c r="C96" s="328"/>
      <c r="D96" s="322"/>
      <c r="E96" s="322"/>
      <c r="F96" s="322"/>
      <c r="G96" s="329"/>
      <c r="H96" s="11">
        <f t="shared" si="22"/>
        <v>137.5</v>
      </c>
      <c r="I96" s="11">
        <f t="shared" si="21"/>
        <v>2.5062500000000001</v>
      </c>
      <c r="J96" s="11">
        <f t="shared" si="20"/>
        <v>-2.5062500000000001</v>
      </c>
    </row>
    <row r="97" spans="2:10" ht="15" thickBot="1">
      <c r="B97" s="321"/>
      <c r="C97" s="330"/>
      <c r="D97" s="331"/>
      <c r="E97" s="331"/>
      <c r="F97" s="331"/>
      <c r="G97" s="332"/>
      <c r="H97" s="11">
        <f>D100+H88</f>
        <v>138</v>
      </c>
      <c r="I97" s="11">
        <f>D98/2</f>
        <v>2.25</v>
      </c>
      <c r="J97" s="11">
        <f t="shared" si="20"/>
        <v>-2.25</v>
      </c>
    </row>
    <row r="98" spans="2:10" ht="28.5">
      <c r="B98" s="326" t="s">
        <v>198</v>
      </c>
      <c r="C98" s="1" t="s">
        <v>254</v>
      </c>
      <c r="D98" s="1">
        <v>4.5</v>
      </c>
      <c r="H98" s="11">
        <f>H97</f>
        <v>138</v>
      </c>
      <c r="I98" s="1">
        <f>0</f>
        <v>0</v>
      </c>
      <c r="J98" s="1">
        <f t="shared" si="20"/>
        <v>0</v>
      </c>
    </row>
    <row r="99" spans="2:10" ht="28.5">
      <c r="B99" s="322"/>
      <c r="C99" s="1" t="s">
        <v>255</v>
      </c>
      <c r="D99" s="1">
        <f>DiameterRocket</f>
        <v>12.7</v>
      </c>
      <c r="E99" s="1" t="s">
        <v>203</v>
      </c>
      <c r="F99" s="1">
        <f>D99/100</f>
        <v>0.127</v>
      </c>
      <c r="G99" s="1" t="s">
        <v>204</v>
      </c>
    </row>
    <row r="100" spans="2:10">
      <c r="B100" s="322"/>
      <c r="C100" s="1" t="s">
        <v>212</v>
      </c>
      <c r="D100" s="1">
        <v>8</v>
      </c>
      <c r="E100" s="1" t="s">
        <v>203</v>
      </c>
      <c r="F100" s="1">
        <f>D100/100</f>
        <v>0.08</v>
      </c>
      <c r="G100" s="1" t="s">
        <v>204</v>
      </c>
    </row>
    <row r="101" spans="2:10" ht="33.6" customHeight="1">
      <c r="B101" s="2" t="s">
        <v>206</v>
      </c>
      <c r="C101" s="322" t="s">
        <v>256</v>
      </c>
      <c r="D101" s="322"/>
      <c r="E101" s="322"/>
      <c r="F101" s="322"/>
      <c r="G101" s="322"/>
    </row>
    <row r="102" spans="2:10">
      <c r="B102" s="322" t="s">
        <v>208</v>
      </c>
    </row>
    <row r="103" spans="2:10">
      <c r="B103" s="322"/>
    </row>
    <row r="104" spans="2:10">
      <c r="B104" s="322"/>
    </row>
  </sheetData>
  <mergeCells count="35">
    <mergeCell ref="O12:S12"/>
    <mergeCell ref="O27:S27"/>
    <mergeCell ref="H60:J61"/>
    <mergeCell ref="N70:N72"/>
    <mergeCell ref="O69:S69"/>
    <mergeCell ref="K48:L48"/>
    <mergeCell ref="W48:X48"/>
    <mergeCell ref="O49:S49"/>
    <mergeCell ref="N50:N59"/>
    <mergeCell ref="O50:S59"/>
    <mergeCell ref="N60:N68"/>
    <mergeCell ref="C101:G101"/>
    <mergeCell ref="B102:B104"/>
    <mergeCell ref="C49:G49"/>
    <mergeCell ref="B50:B59"/>
    <mergeCell ref="C50:G59"/>
    <mergeCell ref="B60:B68"/>
    <mergeCell ref="C69:G69"/>
    <mergeCell ref="B70:B72"/>
    <mergeCell ref="B88:B97"/>
    <mergeCell ref="C88:G97"/>
    <mergeCell ref="B98:B100"/>
    <mergeCell ref="B2:C2"/>
    <mergeCell ref="B13:B22"/>
    <mergeCell ref="C12:G12"/>
    <mergeCell ref="N13:N22"/>
    <mergeCell ref="B45:B47"/>
    <mergeCell ref="C44:G44"/>
    <mergeCell ref="K23:K26"/>
    <mergeCell ref="N23:N26"/>
    <mergeCell ref="C27:G27"/>
    <mergeCell ref="B23:B26"/>
    <mergeCell ref="B31:B40"/>
    <mergeCell ref="C31:G40"/>
    <mergeCell ref="B41:B43"/>
  </mergeCells>
  <hyperlinks>
    <hyperlink ref="C28" r:id="rId1" display="https://www.youtube.com/watch?v=-05AlwGI7Jo"/>
    <hyperlink ref="O28" r:id="rId2" display="https://www.youtube.com/watch?v=-05AlwGI7Jo"/>
  </hyperlinks>
  <pageMargins left="0.7" right="0.7" top="0.75" bottom="0.75" header="0.3" footer="0.3"/>
  <pageSetup orientation="portrait" r:id="rId3"/>
  <customProperties>
    <customPr name="DynardoMOPSolver" r:id="rId4"/>
  </customProperties>
  <drawing r:id="rId5"/>
  <tableParts count="1">
    <tablePart r:id="rId6"/>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B14:V64"/>
  <sheetViews>
    <sheetView topLeftCell="A4" zoomScale="84" zoomScaleNormal="120" workbookViewId="0">
      <selection activeCell="T25" sqref="T25"/>
    </sheetView>
  </sheetViews>
  <sheetFormatPr defaultColWidth="8.875" defaultRowHeight="14.25"/>
  <cols>
    <col min="1" max="1" width="4.75" style="14" customWidth="1"/>
    <col min="2" max="2" width="20" style="14" customWidth="1"/>
    <col min="3" max="3" width="10.25" style="14" customWidth="1"/>
    <col min="4" max="6" width="9" style="14" bestFit="1" customWidth="1"/>
    <col min="7" max="7" width="13" style="14" bestFit="1" customWidth="1"/>
    <col min="8" max="8" width="10.625" style="14" bestFit="1" customWidth="1"/>
    <col min="9" max="9" width="9" style="14" bestFit="1" customWidth="1"/>
    <col min="10" max="10" width="8.875" style="14"/>
    <col min="11" max="11" width="17.375" style="14" customWidth="1"/>
    <col min="12" max="12" width="10.125" style="14" bestFit="1" customWidth="1"/>
    <col min="13" max="13" width="9" style="14" bestFit="1" customWidth="1"/>
    <col min="14" max="14" width="11.625" style="14" customWidth="1"/>
    <col min="15" max="15" width="13.25" style="14" customWidth="1"/>
    <col min="16" max="16" width="9" style="14" bestFit="1" customWidth="1"/>
    <col min="17" max="17" width="14.875" style="14" customWidth="1"/>
    <col min="18" max="18" width="9" style="14" bestFit="1" customWidth="1"/>
    <col min="19" max="19" width="8.875" style="14"/>
    <col min="20" max="20" width="13" style="14" bestFit="1" customWidth="1"/>
    <col min="21" max="21" width="12.75" style="14" bestFit="1" customWidth="1"/>
    <col min="22" max="22" width="11.25" style="14" bestFit="1" customWidth="1"/>
    <col min="23" max="16384" width="8.875" style="14"/>
  </cols>
  <sheetData>
    <row r="14" spans="2:22" ht="15" thickBot="1"/>
    <row r="15" spans="2:22" ht="15" thickBot="1">
      <c r="B15" s="202" t="s">
        <v>257</v>
      </c>
      <c r="C15" s="203" t="s">
        <v>258</v>
      </c>
      <c r="D15" s="203"/>
      <c r="E15" s="203"/>
      <c r="F15" s="204"/>
      <c r="K15" s="202" t="s">
        <v>257</v>
      </c>
      <c r="L15" s="203"/>
      <c r="M15" s="203"/>
      <c r="N15" s="203"/>
      <c r="O15" s="204"/>
      <c r="T15" s="353" t="s">
        <v>259</v>
      </c>
      <c r="U15" s="354"/>
      <c r="V15" s="355"/>
    </row>
    <row r="16" spans="2:22" ht="15.75" thickBot="1">
      <c r="B16" s="291" t="s">
        <v>203</v>
      </c>
      <c r="C16" s="15" t="s">
        <v>260</v>
      </c>
      <c r="D16" s="16" t="s">
        <v>261</v>
      </c>
      <c r="E16" s="16" t="s">
        <v>262</v>
      </c>
      <c r="F16" s="17" t="s">
        <v>263</v>
      </c>
      <c r="G16" s="26" t="s">
        <v>264</v>
      </c>
      <c r="H16" s="27" t="s">
        <v>265</v>
      </c>
      <c r="I16" s="28" t="s">
        <v>266</v>
      </c>
      <c r="K16" s="291" t="s">
        <v>267</v>
      </c>
      <c r="L16" s="15" t="s">
        <v>268</v>
      </c>
      <c r="M16" s="16" t="s">
        <v>261</v>
      </c>
      <c r="N16" s="16" t="s">
        <v>262</v>
      </c>
      <c r="O16" s="17" t="s">
        <v>263</v>
      </c>
      <c r="P16" s="26" t="s">
        <v>264</v>
      </c>
      <c r="Q16" s="27" t="s">
        <v>265</v>
      </c>
      <c r="R16" s="28" t="s">
        <v>266</v>
      </c>
      <c r="T16" s="40">
        <v>2.3888E-3</v>
      </c>
      <c r="U16" s="41">
        <v>7.2800000000000009E-3</v>
      </c>
      <c r="V16" s="42">
        <v>-2.6000000000000003E-3</v>
      </c>
    </row>
    <row r="17" spans="2:22">
      <c r="B17" s="18" t="s">
        <v>269</v>
      </c>
      <c r="C17" s="19">
        <v>300</v>
      </c>
      <c r="D17" s="20">
        <v>20</v>
      </c>
      <c r="E17" s="20">
        <v>0</v>
      </c>
      <c r="F17" s="20">
        <v>0</v>
      </c>
      <c r="G17" s="26">
        <f>$C$17*D17*9.81</f>
        <v>58860</v>
      </c>
      <c r="H17" s="27">
        <f t="shared" ref="H17:I17" si="0">$C$17*E17*9.81</f>
        <v>0</v>
      </c>
      <c r="I17" s="28">
        <f t="shared" si="0"/>
        <v>0</v>
      </c>
      <c r="K17" s="18" t="s">
        <v>269</v>
      </c>
      <c r="L17" s="19">
        <f>C17/1000</f>
        <v>0.3</v>
      </c>
      <c r="M17" s="20">
        <f>D17/100</f>
        <v>0.2</v>
      </c>
      <c r="N17" s="20">
        <f t="shared" ref="N17:O17" si="1">E17/100</f>
        <v>0</v>
      </c>
      <c r="O17" s="20">
        <f t="shared" si="1"/>
        <v>0</v>
      </c>
      <c r="P17" s="26">
        <f>$L$17*M17*9.81</f>
        <v>0.58860000000000001</v>
      </c>
      <c r="Q17" s="27">
        <f t="shared" ref="Q17:R17" si="2">$L$17*N17*9.81</f>
        <v>0</v>
      </c>
      <c r="R17" s="28">
        <f t="shared" si="2"/>
        <v>0</v>
      </c>
      <c r="T17" s="43">
        <v>7.2800000000000009E-3</v>
      </c>
      <c r="U17" s="44">
        <v>1.7821174</v>
      </c>
      <c r="V17" s="45">
        <v>-6.7600000000000017E-5</v>
      </c>
    </row>
    <row r="18" spans="2:22" ht="15" thickBot="1">
      <c r="B18" s="22" t="s">
        <v>270</v>
      </c>
      <c r="C18" s="19">
        <v>280</v>
      </c>
      <c r="D18" s="20">
        <v>80</v>
      </c>
      <c r="E18" s="20">
        <v>0</v>
      </c>
      <c r="F18" s="20">
        <v>0</v>
      </c>
      <c r="G18" s="19">
        <f>$C$18*D18*9.81</f>
        <v>219744</v>
      </c>
      <c r="H18" s="20">
        <f t="shared" ref="H18:I18" si="3">$C$18*E18*9.81</f>
        <v>0</v>
      </c>
      <c r="I18" s="21">
        <f t="shared" si="3"/>
        <v>0</v>
      </c>
      <c r="K18" s="22" t="s">
        <v>270</v>
      </c>
      <c r="L18" s="19">
        <f t="shared" ref="L18:L27" si="4">C18/1000</f>
        <v>0.28000000000000003</v>
      </c>
      <c r="M18" s="20">
        <f t="shared" ref="M18:M27" si="5">D18/100</f>
        <v>0.8</v>
      </c>
      <c r="N18" s="20">
        <f t="shared" ref="N18:N27" si="6">E18/100</f>
        <v>0</v>
      </c>
      <c r="O18" s="20">
        <f t="shared" ref="O18:O27" si="7">F18/100</f>
        <v>0</v>
      </c>
      <c r="P18" s="19">
        <f>$L$18*M18*9.81</f>
        <v>2.1974400000000003</v>
      </c>
      <c r="Q18" s="20">
        <f t="shared" ref="Q18:R18" si="8">$L$18*N18*9.81</f>
        <v>0</v>
      </c>
      <c r="R18" s="21">
        <f t="shared" si="8"/>
        <v>0</v>
      </c>
      <c r="T18" s="46">
        <v>-2.6000000000000003E-3</v>
      </c>
      <c r="U18" s="47">
        <v>-6.7600000000000017E-5</v>
      </c>
      <c r="V18" s="48">
        <v>1.7821174</v>
      </c>
    </row>
    <row r="19" spans="2:22">
      <c r="B19" s="22" t="s">
        <v>271</v>
      </c>
      <c r="C19" s="19">
        <v>150</v>
      </c>
      <c r="D19" s="20">
        <v>120</v>
      </c>
      <c r="E19" s="20">
        <v>6</v>
      </c>
      <c r="F19" s="20">
        <v>0</v>
      </c>
      <c r="G19" s="19">
        <f>$C$19*D19*9.81</f>
        <v>176580</v>
      </c>
      <c r="H19" s="20">
        <f t="shared" ref="H19:I19" si="9">$C$19*E19*9.81</f>
        <v>8829</v>
      </c>
      <c r="I19" s="21">
        <f t="shared" si="9"/>
        <v>0</v>
      </c>
      <c r="K19" s="22" t="s">
        <v>271</v>
      </c>
      <c r="L19" s="19">
        <f>C19/1000</f>
        <v>0.15</v>
      </c>
      <c r="M19" s="20">
        <f>D19/100</f>
        <v>1.2</v>
      </c>
      <c r="N19" s="20">
        <f t="shared" si="6"/>
        <v>0.06</v>
      </c>
      <c r="O19" s="20">
        <f t="shared" si="7"/>
        <v>0</v>
      </c>
      <c r="P19" s="19">
        <f>$L$19*M19*9.81</f>
        <v>1.7658</v>
      </c>
      <c r="Q19" s="20">
        <f>$L$19*N19*9.81</f>
        <v>8.8289999999999993E-2</v>
      </c>
      <c r="R19" s="21">
        <f t="shared" ref="R19:R20" si="10">$L$21*O19*9.81</f>
        <v>0</v>
      </c>
    </row>
    <row r="20" spans="2:22">
      <c r="B20" s="22" t="s">
        <v>272</v>
      </c>
      <c r="C20" s="19">
        <v>150</v>
      </c>
      <c r="D20" s="20">
        <v>120</v>
      </c>
      <c r="E20" s="20">
        <v>-6</v>
      </c>
      <c r="F20" s="20">
        <v>0</v>
      </c>
      <c r="G20" s="19">
        <f>$C$20*D20*9.81</f>
        <v>176580</v>
      </c>
      <c r="H20" s="20">
        <f t="shared" ref="H20:I20" si="11">$C$20*E20*9.81</f>
        <v>-8829</v>
      </c>
      <c r="I20" s="21">
        <f t="shared" si="11"/>
        <v>0</v>
      </c>
      <c r="K20" s="22" t="s">
        <v>272</v>
      </c>
      <c r="L20" s="19">
        <f t="shared" ref="L20:L22" si="12">C20/1000</f>
        <v>0.15</v>
      </c>
      <c r="M20" s="20">
        <f>D20/100</f>
        <v>1.2</v>
      </c>
      <c r="N20" s="20">
        <f t="shared" ref="N20:N22" si="13">E20/100</f>
        <v>-0.06</v>
      </c>
      <c r="O20" s="20">
        <f t="shared" ref="O20:O22" si="14">F20/100</f>
        <v>0</v>
      </c>
      <c r="P20" s="19">
        <f t="shared" ref="P20" si="15">$L$21*M20*9.81</f>
        <v>1.7658</v>
      </c>
      <c r="Q20" s="20">
        <f t="shared" ref="Q20" si="16">$L$21*N20*9.81</f>
        <v>-8.8289999999999993E-2</v>
      </c>
      <c r="R20" s="21">
        <f t="shared" si="10"/>
        <v>0</v>
      </c>
    </row>
    <row r="21" spans="2:22" ht="15" thickBot="1">
      <c r="B21" s="22" t="s">
        <v>273</v>
      </c>
      <c r="C21" s="19">
        <v>150</v>
      </c>
      <c r="D21" s="20">
        <v>120</v>
      </c>
      <c r="E21" s="20">
        <v>0</v>
      </c>
      <c r="F21" s="20">
        <v>6</v>
      </c>
      <c r="G21" s="19">
        <f>$C$21*D21*9.81</f>
        <v>176580</v>
      </c>
      <c r="H21" s="20">
        <f t="shared" ref="H21:I21" si="17">$C$21*E21*9.81</f>
        <v>0</v>
      </c>
      <c r="I21" s="21">
        <f t="shared" si="17"/>
        <v>8829</v>
      </c>
      <c r="K21" s="22" t="s">
        <v>273</v>
      </c>
      <c r="L21" s="19">
        <f t="shared" si="12"/>
        <v>0.15</v>
      </c>
      <c r="M21" s="20">
        <f t="shared" ref="M21:M22" si="18">D21/100</f>
        <v>1.2</v>
      </c>
      <c r="N21" s="20">
        <f t="shared" si="13"/>
        <v>0</v>
      </c>
      <c r="O21" s="20">
        <f t="shared" si="14"/>
        <v>0.06</v>
      </c>
      <c r="P21" s="19">
        <f>$L$21*M21*9.81</f>
        <v>1.7658</v>
      </c>
      <c r="Q21" s="20">
        <f t="shared" ref="Q21:R21" si="19">$L$21*N21*9.81</f>
        <v>0</v>
      </c>
      <c r="R21" s="21">
        <f t="shared" si="19"/>
        <v>8.8289999999999993E-2</v>
      </c>
    </row>
    <row r="22" spans="2:22" ht="15" thickBot="1">
      <c r="B22" s="22" t="s">
        <v>274</v>
      </c>
      <c r="C22" s="19">
        <v>150</v>
      </c>
      <c r="D22" s="20">
        <v>120</v>
      </c>
      <c r="E22" s="20">
        <v>0</v>
      </c>
      <c r="F22" s="20">
        <v>-6</v>
      </c>
      <c r="G22" s="19">
        <f>$C$22*D22*9.81</f>
        <v>176580</v>
      </c>
      <c r="H22" s="20">
        <f t="shared" ref="H22:I22" si="20">$C$22*E22*9.81</f>
        <v>0</v>
      </c>
      <c r="I22" s="21">
        <f t="shared" si="20"/>
        <v>-8829</v>
      </c>
      <c r="K22" s="22" t="s">
        <v>274</v>
      </c>
      <c r="L22" s="19">
        <f t="shared" si="12"/>
        <v>0.15</v>
      </c>
      <c r="M22" s="20">
        <f t="shared" si="18"/>
        <v>1.2</v>
      </c>
      <c r="N22" s="20">
        <f t="shared" si="13"/>
        <v>0</v>
      </c>
      <c r="O22" s="20">
        <f t="shared" si="14"/>
        <v>-0.06</v>
      </c>
      <c r="P22" s="19">
        <f>$L$21*M22*9.81</f>
        <v>1.7658</v>
      </c>
      <c r="Q22" s="20">
        <f t="shared" ref="Q22" si="21">$L$21*N22*9.81</f>
        <v>0</v>
      </c>
      <c r="R22" s="21">
        <f t="shared" ref="R22" si="22">$L$21*O22*9.81</f>
        <v>-8.8289999999999993E-2</v>
      </c>
      <c r="T22" s="39" t="s">
        <v>275</v>
      </c>
    </row>
    <row r="23" spans="2:22" ht="15" thickBot="1">
      <c r="B23" s="22" t="s">
        <v>276</v>
      </c>
      <c r="C23" s="19">
        <v>0</v>
      </c>
      <c r="D23" s="20">
        <v>0</v>
      </c>
      <c r="E23" s="20">
        <v>0</v>
      </c>
      <c r="F23" s="20">
        <v>0</v>
      </c>
      <c r="G23" s="19">
        <f>$C$23*D23*9.81</f>
        <v>0</v>
      </c>
      <c r="H23" s="20">
        <f t="shared" ref="H23:I23" si="23">$C$23*E23*9.81</f>
        <v>0</v>
      </c>
      <c r="I23" s="21">
        <f t="shared" si="23"/>
        <v>0</v>
      </c>
      <c r="K23" s="22" t="s">
        <v>276</v>
      </c>
      <c r="L23" s="19">
        <f t="shared" si="4"/>
        <v>0</v>
      </c>
      <c r="M23" s="20">
        <f t="shared" si="5"/>
        <v>0</v>
      </c>
      <c r="N23" s="20">
        <f t="shared" si="6"/>
        <v>0</v>
      </c>
      <c r="O23" s="20">
        <f t="shared" si="7"/>
        <v>0</v>
      </c>
      <c r="P23" s="19">
        <f>$L$23*M23*9.81</f>
        <v>0</v>
      </c>
      <c r="Q23" s="20">
        <f t="shared" ref="Q23:R23" si="24">$L$23*N23*9.81</f>
        <v>0</v>
      </c>
      <c r="R23" s="21">
        <f t="shared" si="24"/>
        <v>0</v>
      </c>
      <c r="T23" s="356" t="s">
        <v>259</v>
      </c>
      <c r="U23" s="357"/>
      <c r="V23" s="358"/>
    </row>
    <row r="24" spans="2:22">
      <c r="B24" s="22" t="s">
        <v>277</v>
      </c>
      <c r="C24" s="19">
        <v>260</v>
      </c>
      <c r="D24" s="20">
        <v>40</v>
      </c>
      <c r="E24" s="20">
        <v>1</v>
      </c>
      <c r="F24" s="20">
        <v>-1</v>
      </c>
      <c r="G24" s="19">
        <f>$C$24*D24*9.81</f>
        <v>102024</v>
      </c>
      <c r="H24" s="20">
        <f t="shared" ref="H24:I24" si="25">$C$24*E24*9.81</f>
        <v>2550.6</v>
      </c>
      <c r="I24" s="21">
        <f t="shared" si="25"/>
        <v>-2550.6</v>
      </c>
      <c r="K24" s="22" t="s">
        <v>277</v>
      </c>
      <c r="L24" s="19">
        <f t="shared" si="4"/>
        <v>0.26</v>
      </c>
      <c r="M24" s="20">
        <f t="shared" si="5"/>
        <v>0.4</v>
      </c>
      <c r="N24" s="20">
        <f t="shared" si="6"/>
        <v>0.01</v>
      </c>
      <c r="O24" s="20">
        <f t="shared" si="7"/>
        <v>-0.01</v>
      </c>
      <c r="P24" s="19">
        <f>$L$24*M24*9.81</f>
        <v>1.02024</v>
      </c>
      <c r="Q24" s="20">
        <f t="shared" ref="Q24:R24" si="26">$L$24*N24*9.81</f>
        <v>2.5506000000000004E-2</v>
      </c>
      <c r="R24" s="21">
        <f t="shared" si="26"/>
        <v>-2.5506000000000004E-2</v>
      </c>
      <c r="T24" s="31" t="s">
        <v>278</v>
      </c>
      <c r="U24" s="32" t="s">
        <v>279</v>
      </c>
      <c r="V24" s="33" t="s">
        <v>280</v>
      </c>
    </row>
    <row r="25" spans="2:22">
      <c r="B25" s="22" t="s">
        <v>281</v>
      </c>
      <c r="C25" s="19">
        <v>650</v>
      </c>
      <c r="D25" s="20">
        <v>60</v>
      </c>
      <c r="E25" s="20">
        <v>1.6</v>
      </c>
      <c r="F25" s="20">
        <v>-0.4</v>
      </c>
      <c r="G25" s="19">
        <f>$C$25*D25*9.81</f>
        <v>382590</v>
      </c>
      <c r="H25" s="20">
        <f t="shared" ref="H25:I25" si="27">$C$25*E25*9.81</f>
        <v>10202.4</v>
      </c>
      <c r="I25" s="21">
        <f t="shared" si="27"/>
        <v>-2550.6</v>
      </c>
      <c r="K25" s="22" t="s">
        <v>281</v>
      </c>
      <c r="L25" s="19">
        <f t="shared" si="4"/>
        <v>0.65</v>
      </c>
      <c r="M25" s="20">
        <f t="shared" si="5"/>
        <v>0.6</v>
      </c>
      <c r="N25" s="20">
        <f t="shared" si="6"/>
        <v>1.6E-2</v>
      </c>
      <c r="O25" s="20">
        <f t="shared" si="7"/>
        <v>-4.0000000000000001E-3</v>
      </c>
      <c r="P25" s="19">
        <f>$L$25*M25*9.81</f>
        <v>3.8259000000000003</v>
      </c>
      <c r="Q25" s="20">
        <f>$L$25*N25*9.81</f>
        <v>0.10202400000000002</v>
      </c>
      <c r="R25" s="21">
        <f>$L$25*O25*9.81</f>
        <v>-2.5506000000000004E-2</v>
      </c>
      <c r="T25" s="34" t="s">
        <v>282</v>
      </c>
      <c r="U25" s="30" t="s">
        <v>283</v>
      </c>
      <c r="V25" s="35" t="s">
        <v>284</v>
      </c>
    </row>
    <row r="26" spans="2:22" ht="15" thickBot="1">
      <c r="B26" s="22" t="s">
        <v>285</v>
      </c>
      <c r="C26" s="19">
        <v>121</v>
      </c>
      <c r="D26" s="20">
        <v>120</v>
      </c>
      <c r="E26" s="20">
        <v>0</v>
      </c>
      <c r="F26" s="20">
        <v>0</v>
      </c>
      <c r="G26" s="19">
        <f>$C$26*D26*9.81</f>
        <v>142441.20000000001</v>
      </c>
      <c r="H26" s="20">
        <f t="shared" ref="H26:I26" si="28">$C$26*E26*9.81</f>
        <v>0</v>
      </c>
      <c r="I26" s="21">
        <f t="shared" si="28"/>
        <v>0</v>
      </c>
      <c r="K26" s="22" t="s">
        <v>286</v>
      </c>
      <c r="L26" s="19">
        <f t="shared" si="4"/>
        <v>0.121</v>
      </c>
      <c r="M26" s="20">
        <f t="shared" si="5"/>
        <v>1.2</v>
      </c>
      <c r="N26" s="20">
        <f t="shared" si="6"/>
        <v>0</v>
      </c>
      <c r="O26" s="20">
        <f t="shared" si="7"/>
        <v>0</v>
      </c>
      <c r="P26" s="19">
        <f>$L$26*M26*9.81</f>
        <v>1.424412</v>
      </c>
      <c r="Q26" s="20">
        <f t="shared" ref="Q26:R26" si="29">$L$26*N26*9.81</f>
        <v>0</v>
      </c>
      <c r="R26" s="21">
        <f t="shared" si="29"/>
        <v>0</v>
      </c>
      <c r="T26" s="36" t="s">
        <v>287</v>
      </c>
      <c r="U26" s="37" t="s">
        <v>284</v>
      </c>
      <c r="V26" s="38" t="s">
        <v>288</v>
      </c>
    </row>
    <row r="27" spans="2:22">
      <c r="B27" s="22" t="s">
        <v>289</v>
      </c>
      <c r="C27" s="19">
        <v>1000</v>
      </c>
      <c r="D27" s="20">
        <v>25</v>
      </c>
      <c r="E27" s="20">
        <v>0</v>
      </c>
      <c r="F27" s="20">
        <v>0</v>
      </c>
      <c r="G27" s="19">
        <f>$C$27*D27*9.81</f>
        <v>245250</v>
      </c>
      <c r="H27" s="20">
        <f>$C$27*E27*9.81</f>
        <v>0</v>
      </c>
      <c r="I27" s="21">
        <f>$C$27*F27*9.81</f>
        <v>0</v>
      </c>
      <c r="K27" s="22" t="s">
        <v>289</v>
      </c>
      <c r="L27" s="19">
        <f t="shared" si="4"/>
        <v>1</v>
      </c>
      <c r="M27" s="20">
        <f t="shared" si="5"/>
        <v>0.25</v>
      </c>
      <c r="N27" s="20">
        <f t="shared" si="6"/>
        <v>0</v>
      </c>
      <c r="O27" s="20">
        <f t="shared" si="7"/>
        <v>0</v>
      </c>
      <c r="P27" s="19">
        <f>$L$27*M27*9.81</f>
        <v>2.4525000000000001</v>
      </c>
      <c r="Q27" s="20">
        <f t="shared" ref="Q27:R27" si="30">$L$27*N27*9.81</f>
        <v>0</v>
      </c>
      <c r="R27" s="21">
        <f t="shared" si="30"/>
        <v>0</v>
      </c>
    </row>
    <row r="28" spans="2:22" ht="15" thickBot="1">
      <c r="B28" s="22" t="s">
        <v>290</v>
      </c>
      <c r="C28" s="19">
        <f>SUM(C17:C27)</f>
        <v>3211</v>
      </c>
      <c r="D28" s="64">
        <f>G28/($C$28*9.81)</f>
        <v>58.959825599501713</v>
      </c>
      <c r="E28" s="64">
        <f>H28/($C$28*9.81)</f>
        <v>0.40485829959514169</v>
      </c>
      <c r="F28" s="64">
        <f>I28/($C$28*9.81)</f>
        <v>-0.16194331983805668</v>
      </c>
      <c r="G28" s="23">
        <f>SUM(G17:G27)</f>
        <v>1857229.2</v>
      </c>
      <c r="H28" s="24">
        <f>SUM(H17:H27)</f>
        <v>12753</v>
      </c>
      <c r="I28" s="25">
        <f t="shared" ref="I28" si="31">SUM(I17:I27)</f>
        <v>-5101.2</v>
      </c>
      <c r="K28" s="22" t="s">
        <v>290</v>
      </c>
      <c r="L28" s="19">
        <f>SUM(L17:L27)</f>
        <v>3.2109999999999999</v>
      </c>
      <c r="M28" s="293">
        <f>P28/($L$28*9.81)</f>
        <v>0.58959825599501714</v>
      </c>
      <c r="N28" s="293">
        <f>Q28/($L$28*9.81)</f>
        <v>4.0485829959514179E-3</v>
      </c>
      <c r="O28" s="293">
        <f>R28/($L$28*9.81)</f>
        <v>-1.6194331983805672E-3</v>
      </c>
      <c r="P28" s="23">
        <f>SUM(P17:P27)</f>
        <v>18.572292000000001</v>
      </c>
      <c r="Q28" s="24">
        <f>SUM(Q17:Q27)</f>
        <v>0.12753000000000003</v>
      </c>
      <c r="R28" s="25">
        <f>SUM(R17:R27)</f>
        <v>-5.1012000000000009E-2</v>
      </c>
    </row>
    <row r="29" spans="2:22" ht="29.25" thickBot="1">
      <c r="B29" s="50" t="s">
        <v>291</v>
      </c>
      <c r="C29" s="15"/>
      <c r="D29" s="16"/>
      <c r="E29" s="16"/>
      <c r="F29" s="17"/>
      <c r="G29" s="20"/>
      <c r="I29" s="20"/>
      <c r="K29" s="49" t="s">
        <v>291</v>
      </c>
      <c r="L29" s="15"/>
      <c r="M29" s="16"/>
      <c r="N29" s="16"/>
      <c r="O29" s="17"/>
      <c r="P29" s="20"/>
      <c r="Q29" s="20"/>
      <c r="R29" s="20"/>
    </row>
    <row r="31" spans="2:22" ht="15" thickBot="1"/>
    <row r="32" spans="2:22" ht="15" thickBot="1">
      <c r="B32" s="202" t="s">
        <v>292</v>
      </c>
      <c r="C32" s="215"/>
      <c r="D32" s="215"/>
      <c r="E32" s="215"/>
      <c r="F32" s="216"/>
    </row>
    <row r="33" spans="2:19" ht="15" thickBot="1">
      <c r="B33" s="205" t="s">
        <v>234</v>
      </c>
      <c r="C33" s="199" t="s">
        <v>260</v>
      </c>
      <c r="D33" s="200" t="s">
        <v>261</v>
      </c>
      <c r="E33" s="200" t="s">
        <v>262</v>
      </c>
      <c r="F33" s="201" t="s">
        <v>263</v>
      </c>
      <c r="G33" s="199" t="s">
        <v>264</v>
      </c>
      <c r="H33" s="200" t="s">
        <v>265</v>
      </c>
      <c r="I33" s="201" t="s">
        <v>266</v>
      </c>
      <c r="K33" s="359" t="s">
        <v>293</v>
      </c>
      <c r="L33" s="360"/>
      <c r="M33" s="360"/>
      <c r="N33" s="360"/>
      <c r="O33" s="360"/>
      <c r="P33" s="360"/>
      <c r="Q33" s="360"/>
      <c r="R33" s="360"/>
      <c r="S33" s="361"/>
    </row>
    <row r="34" spans="2:19">
      <c r="B34" s="206" t="s">
        <v>294</v>
      </c>
      <c r="C34" s="18"/>
      <c r="D34" s="209"/>
      <c r="E34" s="209"/>
      <c r="F34" s="210"/>
      <c r="G34" s="18"/>
      <c r="H34" s="209"/>
      <c r="I34" s="210"/>
      <c r="K34" s="22" t="s">
        <v>295</v>
      </c>
      <c r="N34" s="121"/>
      <c r="O34" s="14" t="s">
        <v>296</v>
      </c>
      <c r="Q34" s="14" t="s">
        <v>297</v>
      </c>
      <c r="R34" s="289" t="s">
        <v>193</v>
      </c>
      <c r="S34" s="211" t="s">
        <v>298</v>
      </c>
    </row>
    <row r="35" spans="2:19">
      <c r="B35" s="207" t="s">
        <v>299</v>
      </c>
      <c r="C35" s="22" t="s">
        <v>88</v>
      </c>
      <c r="F35" s="211"/>
      <c r="G35" s="22"/>
      <c r="I35" s="211"/>
      <c r="K35" s="22" t="s">
        <v>300</v>
      </c>
      <c r="L35" s="14">
        <v>8</v>
      </c>
      <c r="M35" s="14" t="s">
        <v>203</v>
      </c>
      <c r="N35" s="14">
        <f>L35/100</f>
        <v>0.08</v>
      </c>
      <c r="O35" s="286" t="s">
        <v>204</v>
      </c>
      <c r="Q35" s="14" t="s">
        <v>301</v>
      </c>
      <c r="R35" s="14">
        <v>2.6</v>
      </c>
      <c r="S35" s="287" t="s">
        <v>302</v>
      </c>
    </row>
    <row r="36" spans="2:19">
      <c r="B36" s="207" t="s">
        <v>303</v>
      </c>
      <c r="C36" s="22"/>
      <c r="F36" s="211"/>
      <c r="G36" s="22"/>
      <c r="I36" s="211"/>
      <c r="K36" s="22" t="s">
        <v>304</v>
      </c>
      <c r="L36" s="14">
        <v>7.2</v>
      </c>
      <c r="M36" s="14" t="s">
        <v>203</v>
      </c>
      <c r="N36" s="14">
        <f t="shared" ref="N36:N37" si="32">L36/100</f>
        <v>7.2000000000000008E-2</v>
      </c>
      <c r="O36" s="286" t="s">
        <v>204</v>
      </c>
      <c r="Q36" s="14" t="s">
        <v>305</v>
      </c>
      <c r="R36" s="14">
        <v>60</v>
      </c>
      <c r="S36" s="287" t="s">
        <v>306</v>
      </c>
    </row>
    <row r="37" spans="2:19">
      <c r="B37" s="207" t="s">
        <v>307</v>
      </c>
      <c r="C37" s="22"/>
      <c r="F37" s="211"/>
      <c r="G37" s="22"/>
      <c r="I37" s="211"/>
      <c r="K37" s="22" t="s">
        <v>212</v>
      </c>
      <c r="L37" s="14">
        <v>200</v>
      </c>
      <c r="M37" s="14" t="s">
        <v>203</v>
      </c>
      <c r="N37" s="14">
        <f t="shared" si="32"/>
        <v>2</v>
      </c>
      <c r="O37" s="286" t="s">
        <v>204</v>
      </c>
      <c r="S37" s="211"/>
    </row>
    <row r="38" spans="2:19" ht="15" thickBot="1">
      <c r="B38" s="207" t="s">
        <v>308</v>
      </c>
      <c r="C38" s="22"/>
      <c r="F38" s="211"/>
      <c r="G38" s="22"/>
      <c r="I38" s="211"/>
      <c r="K38" s="22" t="s">
        <v>309</v>
      </c>
      <c r="L38" s="14">
        <f>((L35-L36)/2)*10</f>
        <v>3.9999999999999991</v>
      </c>
      <c r="M38" s="14" t="s">
        <v>234</v>
      </c>
      <c r="Q38" s="14" t="s">
        <v>310</v>
      </c>
      <c r="R38" s="289" t="s">
        <v>193</v>
      </c>
      <c r="S38" s="211" t="s">
        <v>298</v>
      </c>
    </row>
    <row r="39" spans="2:19">
      <c r="B39" s="206" t="s">
        <v>311</v>
      </c>
      <c r="C39" s="18"/>
      <c r="D39" s="209"/>
      <c r="E39" s="209"/>
      <c r="F39" s="210"/>
      <c r="G39" s="18"/>
      <c r="H39" s="209"/>
      <c r="I39" s="210"/>
      <c r="K39" s="22"/>
      <c r="Q39" s="14" t="s">
        <v>301</v>
      </c>
      <c r="R39" s="14">
        <v>1.4</v>
      </c>
      <c r="S39" s="287" t="s">
        <v>302</v>
      </c>
    </row>
    <row r="40" spans="2:19">
      <c r="B40" s="207" t="s">
        <v>312</v>
      </c>
      <c r="C40" s="22"/>
      <c r="F40" s="211"/>
      <c r="G40" s="22"/>
      <c r="I40" s="211"/>
      <c r="K40" s="22" t="s">
        <v>301</v>
      </c>
      <c r="L40" s="14">
        <f>N40</f>
        <v>2.12</v>
      </c>
      <c r="M40" s="14" t="s">
        <v>313</v>
      </c>
      <c r="N40" s="14">
        <f>(R35*R36/100)+(R39*R40/100)</f>
        <v>2.12</v>
      </c>
      <c r="O40" s="286" t="s">
        <v>302</v>
      </c>
      <c r="Q40" s="14" t="s">
        <v>314</v>
      </c>
      <c r="R40" s="14">
        <v>40</v>
      </c>
      <c r="S40" s="287" t="s">
        <v>306</v>
      </c>
    </row>
    <row r="41" spans="2:19" ht="15" thickBot="1">
      <c r="B41" s="208" t="s">
        <v>315</v>
      </c>
      <c r="C41" s="212"/>
      <c r="D41" s="213"/>
      <c r="E41" s="213"/>
      <c r="F41" s="214"/>
      <c r="G41" s="212"/>
      <c r="H41" s="213"/>
      <c r="I41" s="214"/>
      <c r="K41" s="212" t="s">
        <v>316</v>
      </c>
      <c r="L41" s="290">
        <f>N41*1000</f>
        <v>38.575741857135213</v>
      </c>
      <c r="M41" s="213" t="s">
        <v>317</v>
      </c>
      <c r="N41" s="292">
        <f>(((PI()*N36^2)/4)*N37 + ((PI()*N35^2)/4)*N37) * N40</f>
        <v>3.8575741857135214E-2</v>
      </c>
      <c r="O41" s="288" t="s">
        <v>318</v>
      </c>
      <c r="P41" s="213"/>
      <c r="Q41" s="213"/>
      <c r="R41" s="213"/>
      <c r="S41" s="214"/>
    </row>
    <row r="42" spans="2:19" ht="15" thickBot="1"/>
    <row r="43" spans="2:19" ht="15" thickBot="1">
      <c r="K43" s="359" t="s">
        <v>319</v>
      </c>
      <c r="L43" s="360"/>
      <c r="M43" s="360"/>
      <c r="N43" s="360"/>
      <c r="O43" s="360"/>
      <c r="P43" s="360"/>
      <c r="Q43" s="360"/>
      <c r="R43" s="360"/>
      <c r="S43" s="361"/>
    </row>
    <row r="44" spans="2:19" ht="15" thickBot="1">
      <c r="B44" s="350" t="s">
        <v>320</v>
      </c>
      <c r="C44" s="351"/>
      <c r="D44" s="351"/>
      <c r="E44" s="351"/>
      <c r="F44" s="352"/>
      <c r="K44" s="22" t="s">
        <v>295</v>
      </c>
      <c r="N44" s="121"/>
      <c r="O44" s="14" t="s">
        <v>296</v>
      </c>
      <c r="Q44" s="14" t="s">
        <v>297</v>
      </c>
      <c r="R44" s="14" t="s">
        <v>193</v>
      </c>
      <c r="S44" s="211" t="s">
        <v>298</v>
      </c>
    </row>
    <row r="45" spans="2:19" ht="29.25" thickBot="1">
      <c r="B45" s="15" t="s">
        <v>203</v>
      </c>
      <c r="C45" s="29" t="s">
        <v>321</v>
      </c>
      <c r="D45" s="16" t="s">
        <v>261</v>
      </c>
      <c r="E45" s="16" t="s">
        <v>262</v>
      </c>
      <c r="F45" s="17" t="s">
        <v>263</v>
      </c>
      <c r="G45" s="15" t="s">
        <v>264</v>
      </c>
      <c r="H45" s="16" t="s">
        <v>265</v>
      </c>
      <c r="I45" s="17" t="s">
        <v>266</v>
      </c>
      <c r="K45" s="22" t="s">
        <v>322</v>
      </c>
      <c r="L45" s="14">
        <v>15</v>
      </c>
      <c r="M45" s="14" t="s">
        <v>203</v>
      </c>
      <c r="N45" s="14">
        <f>L45/100</f>
        <v>0.15</v>
      </c>
      <c r="O45" s="286" t="s">
        <v>204</v>
      </c>
      <c r="Q45" s="14" t="s">
        <v>301</v>
      </c>
      <c r="R45" s="14">
        <v>2</v>
      </c>
      <c r="S45" s="287" t="s">
        <v>323</v>
      </c>
    </row>
    <row r="46" spans="2:19">
      <c r="B46" s="18" t="s">
        <v>269</v>
      </c>
      <c r="C46" s="26"/>
      <c r="D46" s="27">
        <v>20</v>
      </c>
      <c r="E46" s="27">
        <v>0</v>
      </c>
      <c r="F46" s="28">
        <v>0</v>
      </c>
      <c r="G46" s="19">
        <f>$C$17*D46*9.81</f>
        <v>58860</v>
      </c>
      <c r="H46" s="20">
        <f>$C$17*E46*9.81</f>
        <v>0</v>
      </c>
      <c r="I46" s="21">
        <f t="shared" ref="I46" si="33">$C$17*F46*9.81</f>
        <v>0</v>
      </c>
      <c r="K46" s="22" t="s">
        <v>324</v>
      </c>
      <c r="L46" s="14">
        <v>10</v>
      </c>
      <c r="M46" s="14" t="s">
        <v>203</v>
      </c>
      <c r="N46" s="14">
        <f t="shared" ref="N46:N47" si="34">L46/100</f>
        <v>0.1</v>
      </c>
      <c r="O46" s="286" t="s">
        <v>204</v>
      </c>
      <c r="Q46" s="14" t="s">
        <v>305</v>
      </c>
      <c r="R46" s="14">
        <v>60</v>
      </c>
      <c r="S46" s="287" t="s">
        <v>306</v>
      </c>
    </row>
    <row r="47" spans="2:19">
      <c r="B47" s="22" t="s">
        <v>270</v>
      </c>
      <c r="C47" s="19"/>
      <c r="D47" s="20">
        <v>80</v>
      </c>
      <c r="E47" s="20">
        <v>0</v>
      </c>
      <c r="F47" s="21">
        <v>0</v>
      </c>
      <c r="G47" s="19">
        <f>$C$18*D47*9.81</f>
        <v>219744</v>
      </c>
      <c r="H47" s="20">
        <f>$C$18*E47*9.81</f>
        <v>0</v>
      </c>
      <c r="I47" s="21">
        <f t="shared" ref="I47" si="35">$C$18*F47*9.81</f>
        <v>0</v>
      </c>
      <c r="K47" s="22" t="s">
        <v>212</v>
      </c>
      <c r="L47" s="14">
        <v>8</v>
      </c>
      <c r="M47" s="14" t="s">
        <v>203</v>
      </c>
      <c r="N47" s="14">
        <f t="shared" si="34"/>
        <v>0.08</v>
      </c>
      <c r="O47" s="286" t="s">
        <v>204</v>
      </c>
      <c r="S47" s="211"/>
    </row>
    <row r="48" spans="2:19">
      <c r="B48" s="22" t="s">
        <v>271</v>
      </c>
      <c r="C48" s="19"/>
      <c r="D48" s="20">
        <v>120</v>
      </c>
      <c r="E48" s="20">
        <v>4</v>
      </c>
      <c r="F48" s="21">
        <v>0</v>
      </c>
      <c r="G48" s="19"/>
      <c r="H48" s="20"/>
      <c r="I48" s="21"/>
      <c r="K48" s="22" t="s">
        <v>233</v>
      </c>
      <c r="L48" s="14">
        <v>2</v>
      </c>
      <c r="M48" s="14" t="s">
        <v>234</v>
      </c>
      <c r="N48" s="14">
        <f>L48/1000</f>
        <v>2E-3</v>
      </c>
      <c r="O48" s="286" t="s">
        <v>204</v>
      </c>
      <c r="Q48" s="14" t="s">
        <v>310</v>
      </c>
      <c r="R48" s="14" t="s">
        <v>193</v>
      </c>
      <c r="S48" s="211"/>
    </row>
    <row r="49" spans="2:19">
      <c r="B49" s="22" t="s">
        <v>272</v>
      </c>
      <c r="C49" s="19"/>
      <c r="D49" s="20">
        <v>120</v>
      </c>
      <c r="E49" s="20">
        <v>-4</v>
      </c>
      <c r="F49" s="21">
        <v>0</v>
      </c>
      <c r="G49" s="19"/>
      <c r="H49" s="20"/>
      <c r="I49" s="21"/>
      <c r="K49" s="22"/>
      <c r="Q49" s="14" t="s">
        <v>301</v>
      </c>
      <c r="R49" s="14">
        <v>1.5</v>
      </c>
      <c r="S49" s="287" t="s">
        <v>302</v>
      </c>
    </row>
    <row r="50" spans="2:19">
      <c r="B50" s="22" t="s">
        <v>273</v>
      </c>
      <c r="C50" s="19"/>
      <c r="D50" s="20">
        <v>120</v>
      </c>
      <c r="E50" s="20">
        <v>0</v>
      </c>
      <c r="F50" s="21">
        <v>4</v>
      </c>
      <c r="G50" s="19">
        <f>$C$21*D50*9.81</f>
        <v>176580</v>
      </c>
      <c r="H50" s="20">
        <f>$C$21*E50*9.81</f>
        <v>0</v>
      </c>
      <c r="I50" s="21">
        <f t="shared" ref="I50" si="36">$C$21*F50*9.81</f>
        <v>5886</v>
      </c>
      <c r="K50" s="22" t="s">
        <v>301</v>
      </c>
      <c r="L50" s="14">
        <f>N50</f>
        <v>1.7999999999999998</v>
      </c>
      <c r="M50" s="14" t="s">
        <v>313</v>
      </c>
      <c r="N50" s="14">
        <f>(R45*R46/100)+(R49*R50/100)</f>
        <v>1.7999999999999998</v>
      </c>
      <c r="O50" s="286" t="s">
        <v>302</v>
      </c>
      <c r="Q50" s="14" t="s">
        <v>314</v>
      </c>
      <c r="R50" s="14">
        <v>40</v>
      </c>
      <c r="S50" s="287" t="s">
        <v>306</v>
      </c>
    </row>
    <row r="51" spans="2:19" ht="15" thickBot="1">
      <c r="B51" s="22" t="s">
        <v>274</v>
      </c>
      <c r="C51" s="19"/>
      <c r="D51" s="20">
        <v>120</v>
      </c>
      <c r="E51" s="20">
        <v>0</v>
      </c>
      <c r="F51" s="21">
        <v>-4</v>
      </c>
      <c r="G51" s="19"/>
      <c r="H51" s="20"/>
      <c r="I51" s="21"/>
      <c r="K51" s="212" t="s">
        <v>316</v>
      </c>
      <c r="L51" s="213">
        <f>N51*1000</f>
        <v>3.6000000000000004E-2</v>
      </c>
      <c r="M51" s="213" t="s">
        <v>317</v>
      </c>
      <c r="N51" s="213">
        <f>((0.5*(N45+N46)*N47)*N48*N50*1000)/1000</f>
        <v>3.6000000000000001E-5</v>
      </c>
      <c r="O51" s="288" t="s">
        <v>318</v>
      </c>
      <c r="P51" s="213"/>
      <c r="Q51" s="213"/>
      <c r="R51" s="213"/>
      <c r="S51" s="214"/>
    </row>
    <row r="52" spans="2:19">
      <c r="B52" s="22" t="s">
        <v>276</v>
      </c>
      <c r="C52" s="19"/>
      <c r="D52" s="20">
        <v>128</v>
      </c>
      <c r="E52" s="20">
        <v>0</v>
      </c>
      <c r="F52" s="21">
        <v>0</v>
      </c>
      <c r="G52" s="19">
        <f>$C$23*D52*9.81</f>
        <v>0</v>
      </c>
      <c r="H52" s="20">
        <f>$C$23*E52*9.81</f>
        <v>0</v>
      </c>
      <c r="I52" s="21">
        <f t="shared" ref="I52" si="37">$C$23*F52*9.81</f>
        <v>0</v>
      </c>
    </row>
    <row r="53" spans="2:19" ht="15" thickBot="1">
      <c r="B53" s="22" t="s">
        <v>325</v>
      </c>
      <c r="C53" s="23">
        <f>SUM(C46:C52)</f>
        <v>0</v>
      </c>
      <c r="D53" s="24">
        <f>G53/($C$28*9.81)</f>
        <v>14.450327000934289</v>
      </c>
      <c r="E53" s="24">
        <f>H53/($C$28*9.81)</f>
        <v>0</v>
      </c>
      <c r="F53" s="25">
        <f t="shared" ref="F53" si="38">I53/($C$28*9.81)</f>
        <v>0.18685767673621925</v>
      </c>
      <c r="G53" s="23">
        <f>SUM(G46:G52)</f>
        <v>455184</v>
      </c>
      <c r="H53" s="24">
        <f>SUM(H46:H52)</f>
        <v>0</v>
      </c>
      <c r="I53" s="25">
        <f>SUM(I46:I52)</f>
        <v>5886</v>
      </c>
    </row>
    <row r="54" spans="2:19" ht="29.25" thickBot="1">
      <c r="B54" s="49" t="s">
        <v>326</v>
      </c>
      <c r="C54" s="23"/>
      <c r="D54" s="24"/>
      <c r="E54" s="24"/>
      <c r="F54" s="25"/>
      <c r="G54" s="20"/>
      <c r="I54" s="20"/>
    </row>
    <row r="57" spans="2:19" s="121" customFormat="1" ht="4.5" customHeight="1"/>
    <row r="59" spans="2:19">
      <c r="B59" s="14" t="s">
        <v>327</v>
      </c>
    </row>
    <row r="60" spans="2:19">
      <c r="B60" s="14" t="s">
        <v>328</v>
      </c>
      <c r="C60" s="14" t="s">
        <v>193</v>
      </c>
      <c r="D60" s="14" t="s">
        <v>329</v>
      </c>
      <c r="E60" s="14" t="s">
        <v>330</v>
      </c>
    </row>
    <row r="61" spans="2:19">
      <c r="B61" s="14" t="s">
        <v>331</v>
      </c>
    </row>
    <row r="62" spans="2:19">
      <c r="B62" s="14" t="s">
        <v>332</v>
      </c>
    </row>
    <row r="63" spans="2:19">
      <c r="B63" s="14" t="s">
        <v>221</v>
      </c>
    </row>
    <row r="64" spans="2:19">
      <c r="B64" s="14" t="s">
        <v>333</v>
      </c>
    </row>
  </sheetData>
  <mergeCells count="5">
    <mergeCell ref="B44:F44"/>
    <mergeCell ref="T15:V15"/>
    <mergeCell ref="T23:V23"/>
    <mergeCell ref="K33:S33"/>
    <mergeCell ref="K43:S43"/>
  </mergeCells>
  <pageMargins left="0.7" right="0.7" top="0.75" bottom="0.75" header="0.3" footer="0.3"/>
  <pageSetup orientation="portrait" r:id="rId1"/>
  <customProperties>
    <customPr name="DynardoMOPSolver" r:id="rId2"/>
  </customProperties>
  <drawing r:id="rId3"/>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28"/>
  <sheetViews>
    <sheetView topLeftCell="A4" workbookViewId="0">
      <selection activeCell="E28" sqref="E28"/>
    </sheetView>
  </sheetViews>
  <sheetFormatPr defaultColWidth="9.125" defaultRowHeight="14.25"/>
  <cols>
    <col min="1" max="1" width="30.875" customWidth="1"/>
    <col min="2" max="2" width="9.375" style="222" bestFit="1" customWidth="1"/>
  </cols>
  <sheetData>
    <row r="1" spans="1:2" ht="64.5" customHeight="1">
      <c r="A1" s="224" t="s">
        <v>334</v>
      </c>
      <c r="B1" s="222">
        <v>1</v>
      </c>
    </row>
    <row r="2" spans="1:2">
      <c r="A2" t="s">
        <v>335</v>
      </c>
      <c r="B2" s="222">
        <v>20</v>
      </c>
    </row>
    <row r="3" spans="1:2">
      <c r="A3" t="s">
        <v>336</v>
      </c>
      <c r="B3" s="222">
        <f>B2*COS(RADIANS(B7))*COS(RADIANS(B8))</f>
        <v>20</v>
      </c>
    </row>
    <row r="4" spans="1:2">
      <c r="A4" t="s">
        <v>337</v>
      </c>
      <c r="B4" s="222">
        <f>B2*SIN(RADIANS(B8))</f>
        <v>0</v>
      </c>
    </row>
    <row r="5" spans="1:2">
      <c r="A5" t="s">
        <v>338</v>
      </c>
      <c r="B5" s="222">
        <f>B2*SIN(RADIANS(B7))*COS(RADIANS(B8))</f>
        <v>0</v>
      </c>
    </row>
    <row r="6" spans="1:2">
      <c r="A6" t="s">
        <v>339</v>
      </c>
      <c r="B6" s="222">
        <f>B2/(SQRT(1.4*B14*287))</f>
        <v>5.9175813601628095E-2</v>
      </c>
    </row>
    <row r="7" spans="1:2">
      <c r="A7" t="s">
        <v>340</v>
      </c>
      <c r="B7" s="222">
        <v>0</v>
      </c>
    </row>
    <row r="8" spans="1:2">
      <c r="A8" t="s">
        <v>341</v>
      </c>
      <c r="B8" s="222">
        <v>0</v>
      </c>
    </row>
    <row r="9" spans="1:2">
      <c r="A9" t="s">
        <v>342</v>
      </c>
      <c r="B9" s="222">
        <f>RADIANS(AoAfins)</f>
        <v>0</v>
      </c>
    </row>
    <row r="10" spans="1:2">
      <c r="A10" t="s">
        <v>343</v>
      </c>
      <c r="B10" s="222">
        <f>RADIANS(AoSfins)</f>
        <v>0</v>
      </c>
    </row>
    <row r="11" spans="1:2">
      <c r="A11" t="s">
        <v>344</v>
      </c>
      <c r="B11" s="222">
        <v>600</v>
      </c>
    </row>
    <row r="12" spans="1:2">
      <c r="A12" t="s">
        <v>345</v>
      </c>
      <c r="B12" s="222">
        <f>101325*(B14/288.08)^5.256</f>
        <v>94511.922573226519</v>
      </c>
    </row>
    <row r="13" spans="1:2">
      <c r="A13" t="s">
        <v>346</v>
      </c>
      <c r="B13" s="222">
        <f>B12/(287*B14)</f>
        <v>1.1583588404443286</v>
      </c>
    </row>
    <row r="14" spans="1:2">
      <c r="A14" t="s">
        <v>347</v>
      </c>
      <c r="B14" s="222">
        <f>(15.04-0.0065*B11)+273.15</f>
        <v>284.28999999999996</v>
      </c>
    </row>
    <row r="15" spans="1:2">
      <c r="A15" t="s">
        <v>348</v>
      </c>
      <c r="B15" s="222">
        <f>(1.76*10^-5)*((B14/273)^(3/2))*((273+110)/(B14+110))</f>
        <v>1.8167454611580061E-5</v>
      </c>
    </row>
    <row r="16" spans="1:2">
      <c r="A16" t="s">
        <v>349</v>
      </c>
      <c r="B16" s="222">
        <f>B15/B13</f>
        <v>1.5683788112335987E-5</v>
      </c>
    </row>
    <row r="17" spans="1:2">
      <c r="A17" t="s">
        <v>350</v>
      </c>
      <c r="B17" s="222">
        <v>9</v>
      </c>
    </row>
    <row r="18" spans="1:2">
      <c r="A18" t="s">
        <v>351</v>
      </c>
      <c r="B18" s="222">
        <f>DEGREES(ATAN((B5+B17)/B3))</f>
        <v>24.22774531795417</v>
      </c>
    </row>
    <row r="19" spans="1:2">
      <c r="A19" t="s">
        <v>352</v>
      </c>
      <c r="B19" s="222">
        <f>DEGREES(ATAN((B4+B17)/B3))</f>
        <v>24.22774531795417</v>
      </c>
    </row>
    <row r="20" spans="1:2">
      <c r="A20" t="s">
        <v>353</v>
      </c>
      <c r="B20" s="222">
        <f>RADIANS(B18)</f>
        <v>0.42285392613294071</v>
      </c>
    </row>
    <row r="21" spans="1:2">
      <c r="A21" t="s">
        <v>354</v>
      </c>
      <c r="B21" s="222">
        <f>RADIANS(B19)</f>
        <v>0.42285392613294071</v>
      </c>
    </row>
    <row r="22" spans="1:2">
      <c r="A22" t="s">
        <v>355</v>
      </c>
      <c r="B22" s="222">
        <f>0.5*B13*B2^2</f>
        <v>231.67176808886572</v>
      </c>
    </row>
    <row r="23" spans="1:2">
      <c r="A23" t="s">
        <v>356</v>
      </c>
      <c r="B23" s="222">
        <f>CrossSecAreaRocket</f>
        <v>1.3867686977437444E-2</v>
      </c>
    </row>
    <row r="25" spans="1:2" ht="15">
      <c r="A25" s="223" t="s">
        <v>357</v>
      </c>
    </row>
    <row r="26" spans="1:2">
      <c r="A26" t="s">
        <v>197</v>
      </c>
      <c r="B26" s="222">
        <f>B22*B23*B20*B14</f>
        <v>386.21496177868528</v>
      </c>
    </row>
    <row r="27" spans="1:2">
      <c r="A27" t="s">
        <v>221</v>
      </c>
    </row>
    <row r="28" spans="1:2">
      <c r="A28" t="s">
        <v>276</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K180"/>
  <sheetViews>
    <sheetView zoomScale="85" zoomScaleNormal="85" workbookViewId="0">
      <selection activeCell="B11" sqref="B11"/>
    </sheetView>
  </sheetViews>
  <sheetFormatPr defaultColWidth="9.125" defaultRowHeight="15" customHeight="1" outlineLevelRow="1"/>
  <cols>
    <col min="1" max="1" width="34.875" customWidth="1"/>
    <col min="2" max="5" width="12.75" style="222" customWidth="1"/>
    <col min="6" max="7" width="12.75" style="382" customWidth="1"/>
    <col min="8" max="11" width="12.75" style="222" customWidth="1"/>
  </cols>
  <sheetData>
    <row r="1" spans="1:11" ht="30.75" customHeight="1" thickBot="1">
      <c r="A1" s="303" t="s">
        <v>584</v>
      </c>
      <c r="B1" s="222">
        <v>1</v>
      </c>
      <c r="C1" s="222">
        <v>1</v>
      </c>
      <c r="D1" s="222">
        <v>1</v>
      </c>
      <c r="E1" s="222">
        <v>1</v>
      </c>
      <c r="F1" s="382">
        <v>1</v>
      </c>
      <c r="G1" s="382">
        <v>1</v>
      </c>
      <c r="H1" s="222">
        <v>1</v>
      </c>
      <c r="I1" s="222">
        <v>1</v>
      </c>
      <c r="J1" s="222">
        <v>1</v>
      </c>
      <c r="K1" s="222">
        <v>1</v>
      </c>
    </row>
    <row r="2" spans="1:11" ht="14.25">
      <c r="A2" t="s">
        <v>335</v>
      </c>
      <c r="B2" s="222">
        <f>B6*B8</f>
        <v>20.417175886982996</v>
      </c>
      <c r="C2" s="222">
        <f t="shared" ref="C2:I2" si="0">C6*C8</f>
        <v>34.028626478304993</v>
      </c>
      <c r="D2" s="222">
        <f t="shared" si="0"/>
        <v>102.08587943491499</v>
      </c>
      <c r="E2" s="222">
        <f t="shared" si="0"/>
        <v>170.14313239152497</v>
      </c>
      <c r="F2" s="382">
        <f t="shared" si="0"/>
        <v>238.20038534813494</v>
      </c>
      <c r="G2" s="382">
        <f t="shared" si="0"/>
        <v>340.28626478304994</v>
      </c>
      <c r="H2" s="222">
        <f t="shared" si="0"/>
        <v>510.42939717457489</v>
      </c>
      <c r="I2" s="222">
        <f t="shared" si="0"/>
        <v>680.57252956609989</v>
      </c>
      <c r="J2" s="222">
        <f t="shared" ref="J2:K2" si="1">J6*J8</f>
        <v>1020.8587943491498</v>
      </c>
      <c r="K2" s="222">
        <f t="shared" si="1"/>
        <v>1701.4313239152498</v>
      </c>
    </row>
    <row r="3" spans="1:11" ht="14.25" hidden="1" outlineLevel="1">
      <c r="A3" t="s">
        <v>336</v>
      </c>
      <c r="B3" s="222">
        <f>B2*COS(RADIANS(B9))*COS(RADIANS(B10))</f>
        <v>20.417175886982996</v>
      </c>
      <c r="C3" s="222">
        <f t="shared" ref="C3:I3" si="2">C2*COS(RADIANS(C9))*COS(RADIANS(C10))</f>
        <v>33.89913728103182</v>
      </c>
      <c r="D3" s="222">
        <f t="shared" si="2"/>
        <v>98.607387445616467</v>
      </c>
      <c r="E3" s="222">
        <f t="shared" si="2"/>
        <v>170.14313239152497</v>
      </c>
      <c r="F3" s="382">
        <f t="shared" si="2"/>
        <v>238.20038534813494</v>
      </c>
      <c r="G3" s="382">
        <f t="shared" si="2"/>
        <v>294.69654986103927</v>
      </c>
      <c r="H3" s="222">
        <f t="shared" si="2"/>
        <v>418.11928416075074</v>
      </c>
      <c r="I3" s="222">
        <f t="shared" si="2"/>
        <v>521.34880441353721</v>
      </c>
      <c r="J3" s="222">
        <f t="shared" ref="J3" si="3">J2*COS(RADIANS(J9))*COS(RADIANS(J10))</f>
        <v>782.0232066203057</v>
      </c>
      <c r="K3" s="222">
        <f t="shared" ref="K3" si="4">K2*COS(RADIANS(K9))*COS(RADIANS(K10))</f>
        <v>1303.3720110338429</v>
      </c>
    </row>
    <row r="4" spans="1:11" ht="14.25" hidden="1" outlineLevel="1">
      <c r="A4" t="s">
        <v>337</v>
      </c>
      <c r="B4" s="222">
        <f t="shared" ref="B4:I4" si="5">B2*SIN(RADIANS(B10))</f>
        <v>0</v>
      </c>
      <c r="C4" s="222">
        <f t="shared" si="5"/>
        <v>0</v>
      </c>
      <c r="D4" s="222">
        <f t="shared" si="5"/>
        <v>0</v>
      </c>
      <c r="E4" s="222">
        <f t="shared" si="5"/>
        <v>0</v>
      </c>
      <c r="F4" s="382">
        <f t="shared" si="5"/>
        <v>0</v>
      </c>
      <c r="G4" s="382">
        <f t="shared" si="5"/>
        <v>0</v>
      </c>
      <c r="H4" s="222">
        <f t="shared" si="5"/>
        <v>0</v>
      </c>
      <c r="I4" s="222">
        <f t="shared" si="5"/>
        <v>0</v>
      </c>
      <c r="J4" s="222">
        <f t="shared" ref="J4:K4" si="6">J2*SIN(RADIANS(J10))</f>
        <v>0</v>
      </c>
      <c r="K4" s="222">
        <f t="shared" si="6"/>
        <v>0</v>
      </c>
    </row>
    <row r="5" spans="1:11" ht="14.25" hidden="1" outlineLevel="1">
      <c r="A5" t="s">
        <v>338</v>
      </c>
      <c r="B5" s="222">
        <f t="shared" ref="B5:I5" si="7">B2*SIN(RADIANS(B9))*COS(RADIANS(B10))</f>
        <v>0</v>
      </c>
      <c r="C5" s="222">
        <f t="shared" si="7"/>
        <v>2.965790215399299</v>
      </c>
      <c r="D5" s="222">
        <f t="shared" si="7"/>
        <v>26.421769833795757</v>
      </c>
      <c r="E5" s="222">
        <f t="shared" si="7"/>
        <v>0</v>
      </c>
      <c r="F5" s="382">
        <f t="shared" si="7"/>
        <v>0</v>
      </c>
      <c r="G5" s="382">
        <f t="shared" si="7"/>
        <v>170.14313239152494</v>
      </c>
      <c r="H5" s="222">
        <f t="shared" si="7"/>
        <v>292.77027464020534</v>
      </c>
      <c r="I5" s="222">
        <f t="shared" si="7"/>
        <v>437.46358949811491</v>
      </c>
      <c r="J5" s="222">
        <f t="shared" ref="J5:K5" si="8">J2*SIN(RADIANS(J9))*COS(RADIANS(J10))</f>
        <v>656.19538424717234</v>
      </c>
      <c r="K5" s="222">
        <f t="shared" si="8"/>
        <v>1093.6589737452873</v>
      </c>
    </row>
    <row r="6" spans="1:11" collapsed="1">
      <c r="A6" s="301" t="s">
        <v>569</v>
      </c>
      <c r="B6">
        <v>0.06</v>
      </c>
      <c r="C6">
        <v>0.1</v>
      </c>
      <c r="D6">
        <v>0.3</v>
      </c>
      <c r="E6">
        <v>0.5</v>
      </c>
      <c r="F6" s="383">
        <v>0.7</v>
      </c>
      <c r="G6" s="383">
        <v>1</v>
      </c>
      <c r="H6">
        <v>1.5</v>
      </c>
      <c r="I6">
        <v>2</v>
      </c>
      <c r="J6">
        <v>3</v>
      </c>
      <c r="K6">
        <v>5</v>
      </c>
    </row>
    <row r="7" spans="1:11" ht="14.25">
      <c r="A7" t="s">
        <v>339</v>
      </c>
      <c r="B7" s="222">
        <f>B2/B8</f>
        <v>0.06</v>
      </c>
      <c r="C7" s="222">
        <f t="shared" ref="C7:I7" si="9">C2/C8</f>
        <v>9.9999999999999992E-2</v>
      </c>
      <c r="D7" s="222">
        <f t="shared" si="9"/>
        <v>0.3</v>
      </c>
      <c r="E7" s="222">
        <f t="shared" si="9"/>
        <v>0.5</v>
      </c>
      <c r="F7" s="382">
        <f t="shared" si="9"/>
        <v>0.7</v>
      </c>
      <c r="G7" s="382">
        <f t="shared" si="9"/>
        <v>1</v>
      </c>
      <c r="H7" s="222">
        <f t="shared" si="9"/>
        <v>1.5</v>
      </c>
      <c r="I7" s="222">
        <f t="shared" si="9"/>
        <v>2</v>
      </c>
      <c r="J7" s="222">
        <f t="shared" ref="J7" si="10">J2/J8</f>
        <v>3</v>
      </c>
      <c r="K7" s="222">
        <f t="shared" ref="K7" si="11">K2/K8</f>
        <v>5</v>
      </c>
    </row>
    <row r="8" spans="1:11" ht="14.25">
      <c r="A8" t="s">
        <v>570</v>
      </c>
      <c r="B8" s="222">
        <f>(SQRT(1.4*B17*287))</f>
        <v>340.28626478304994</v>
      </c>
      <c r="C8" s="222">
        <f t="shared" ref="C8:I8" si="12">(SQRT(1.4*C17*287))</f>
        <v>340.28626478304994</v>
      </c>
      <c r="D8" s="222">
        <f t="shared" si="12"/>
        <v>340.28626478304994</v>
      </c>
      <c r="E8" s="222">
        <f t="shared" si="12"/>
        <v>340.28626478304994</v>
      </c>
      <c r="F8" s="382">
        <f t="shared" si="12"/>
        <v>340.28626478304994</v>
      </c>
      <c r="G8" s="382">
        <f t="shared" si="12"/>
        <v>340.28626478304994</v>
      </c>
      <c r="H8" s="222">
        <f t="shared" si="12"/>
        <v>340.28626478304994</v>
      </c>
      <c r="I8" s="222">
        <f t="shared" si="12"/>
        <v>340.28626478304994</v>
      </c>
      <c r="J8" s="222">
        <f t="shared" ref="J8:K8" si="13">(SQRT(1.4*J17*287))</f>
        <v>340.28626478304994</v>
      </c>
      <c r="K8" s="222">
        <f t="shared" si="13"/>
        <v>340.28626478304994</v>
      </c>
    </row>
    <row r="9" spans="1:11">
      <c r="A9" s="301" t="s">
        <v>340</v>
      </c>
      <c r="B9" s="222">
        <v>0</v>
      </c>
      <c r="C9" s="222">
        <v>5</v>
      </c>
      <c r="D9" s="222">
        <v>15</v>
      </c>
      <c r="E9" s="222">
        <v>0</v>
      </c>
      <c r="F9" s="382">
        <v>0</v>
      </c>
      <c r="G9" s="382">
        <v>30</v>
      </c>
      <c r="H9" s="222">
        <v>35</v>
      </c>
      <c r="I9" s="222">
        <v>40</v>
      </c>
      <c r="J9" s="222">
        <v>40</v>
      </c>
      <c r="K9" s="222">
        <v>40</v>
      </c>
    </row>
    <row r="10" spans="1:11">
      <c r="A10" s="301" t="s">
        <v>341</v>
      </c>
      <c r="B10" s="222">
        <v>0</v>
      </c>
      <c r="C10" s="222">
        <v>0</v>
      </c>
      <c r="D10" s="222">
        <v>0</v>
      </c>
      <c r="E10" s="222">
        <v>0</v>
      </c>
      <c r="F10" s="382">
        <v>0</v>
      </c>
      <c r="G10" s="382">
        <v>0</v>
      </c>
      <c r="H10" s="222">
        <v>0</v>
      </c>
      <c r="I10" s="222">
        <v>0</v>
      </c>
      <c r="J10" s="222">
        <v>0</v>
      </c>
      <c r="K10" s="222">
        <v>0</v>
      </c>
    </row>
    <row r="11" spans="1:11" ht="14.25">
      <c r="A11" t="s">
        <v>342</v>
      </c>
      <c r="B11" s="222">
        <f t="shared" ref="B11:K11" si="14">RADIANS(AoAfins)</f>
        <v>0</v>
      </c>
      <c r="C11" s="222">
        <f t="shared" si="14"/>
        <v>0</v>
      </c>
      <c r="D11" s="222">
        <f t="shared" si="14"/>
        <v>0</v>
      </c>
      <c r="E11" s="222">
        <f t="shared" si="14"/>
        <v>0</v>
      </c>
      <c r="F11" s="382">
        <f t="shared" si="14"/>
        <v>0</v>
      </c>
      <c r="G11" s="382">
        <f t="shared" si="14"/>
        <v>0</v>
      </c>
      <c r="H11" s="222">
        <f t="shared" si="14"/>
        <v>0</v>
      </c>
      <c r="I11" s="222">
        <f t="shared" si="14"/>
        <v>0</v>
      </c>
      <c r="J11" s="222">
        <f t="shared" si="14"/>
        <v>0</v>
      </c>
      <c r="K11" s="222">
        <f t="shared" si="14"/>
        <v>0</v>
      </c>
    </row>
    <row r="12" spans="1:11" ht="14.25">
      <c r="A12" t="s">
        <v>343</v>
      </c>
      <c r="B12" s="222">
        <f t="shared" ref="B12:K12" si="15">RADIANS(AoSfins)</f>
        <v>0</v>
      </c>
      <c r="C12" s="222">
        <f t="shared" si="15"/>
        <v>0</v>
      </c>
      <c r="D12" s="222">
        <f t="shared" si="15"/>
        <v>0</v>
      </c>
      <c r="E12" s="222">
        <f t="shared" si="15"/>
        <v>0</v>
      </c>
      <c r="F12" s="382">
        <f t="shared" si="15"/>
        <v>0</v>
      </c>
      <c r="G12" s="382">
        <f t="shared" si="15"/>
        <v>0</v>
      </c>
      <c r="H12" s="222">
        <f t="shared" si="15"/>
        <v>0</v>
      </c>
      <c r="I12" s="222">
        <f t="shared" si="15"/>
        <v>0</v>
      </c>
      <c r="J12" s="222">
        <f t="shared" si="15"/>
        <v>0</v>
      </c>
      <c r="K12" s="222">
        <f t="shared" si="15"/>
        <v>0</v>
      </c>
    </row>
    <row r="13" spans="1:11" thickBot="1">
      <c r="A13" t="s">
        <v>344</v>
      </c>
      <c r="B13" s="222">
        <v>0</v>
      </c>
      <c r="C13" s="222">
        <v>0</v>
      </c>
      <c r="D13" s="222">
        <v>0</v>
      </c>
      <c r="E13" s="222">
        <v>0</v>
      </c>
      <c r="F13" s="382">
        <v>0</v>
      </c>
      <c r="G13" s="382">
        <v>0</v>
      </c>
      <c r="H13" s="222">
        <v>0</v>
      </c>
      <c r="I13" s="222">
        <v>0</v>
      </c>
      <c r="J13" s="222">
        <v>0</v>
      </c>
      <c r="K13" s="222">
        <v>0</v>
      </c>
    </row>
    <row r="14" spans="1:11" ht="15.75" thickBot="1">
      <c r="A14" s="302" t="s">
        <v>571</v>
      </c>
    </row>
    <row r="15" spans="1:11" ht="14.25" hidden="1" outlineLevel="1">
      <c r="A15" t="s">
        <v>358</v>
      </c>
      <c r="B15" s="222">
        <f>101325*(B17/288.08)^5.256</f>
        <v>101528.51875418922</v>
      </c>
      <c r="C15" s="222">
        <f t="shared" ref="B15:I15" si="16">101325*(C17/288.08)^5.256</f>
        <v>101528.51875418922</v>
      </c>
      <c r="D15" s="222">
        <f t="shared" si="16"/>
        <v>101528.51875418922</v>
      </c>
      <c r="E15" s="222">
        <f t="shared" si="16"/>
        <v>101528.51875418922</v>
      </c>
      <c r="F15" s="382">
        <f t="shared" si="16"/>
        <v>101528.51875418922</v>
      </c>
      <c r="G15" s="382">
        <f t="shared" si="16"/>
        <v>101528.51875418922</v>
      </c>
      <c r="H15" s="222">
        <f t="shared" si="16"/>
        <v>101528.51875418922</v>
      </c>
      <c r="I15" s="222">
        <f t="shared" si="16"/>
        <v>101528.51875418922</v>
      </c>
      <c r="J15" s="222">
        <f t="shared" ref="J15:K15" si="17">101325*(J17/288.08)^5.256</f>
        <v>101528.51875418922</v>
      </c>
      <c r="K15" s="222">
        <f t="shared" si="17"/>
        <v>101528.51875418922</v>
      </c>
    </row>
    <row r="16" spans="1:11" ht="14.25" hidden="1" outlineLevel="1">
      <c r="A16" t="s">
        <v>346</v>
      </c>
      <c r="B16" s="222">
        <f t="shared" ref="B16:I16" si="18">B15/(287*B17)</f>
        <v>1.2275162395185863</v>
      </c>
      <c r="C16" s="222">
        <f t="shared" si="18"/>
        <v>1.2275162395185863</v>
      </c>
      <c r="D16" s="222">
        <f t="shared" si="18"/>
        <v>1.2275162395185863</v>
      </c>
      <c r="E16" s="222">
        <f t="shared" si="18"/>
        <v>1.2275162395185863</v>
      </c>
      <c r="F16" s="382">
        <f t="shared" si="18"/>
        <v>1.2275162395185863</v>
      </c>
      <c r="G16" s="382">
        <f t="shared" si="18"/>
        <v>1.2275162395185863</v>
      </c>
      <c r="H16" s="222">
        <f t="shared" si="18"/>
        <v>1.2275162395185863</v>
      </c>
      <c r="I16" s="222">
        <f t="shared" si="18"/>
        <v>1.2275162395185863</v>
      </c>
      <c r="J16" s="222">
        <f t="shared" ref="J16:K16" si="19">J15/(287*J17)</f>
        <v>1.2275162395185863</v>
      </c>
      <c r="K16" s="222">
        <f t="shared" si="19"/>
        <v>1.2275162395185863</v>
      </c>
    </row>
    <row r="17" spans="1:11" ht="14.25" hidden="1" outlineLevel="1">
      <c r="A17" t="s">
        <v>347</v>
      </c>
      <c r="B17" s="222">
        <f>(15.04-0.0065*B13)+273.15</f>
        <v>288.19</v>
      </c>
      <c r="C17" s="222">
        <f t="shared" ref="C17:I17" si="20">(15.04-0.0065*C13)+273.15</f>
        <v>288.19</v>
      </c>
      <c r="D17" s="222">
        <f t="shared" si="20"/>
        <v>288.19</v>
      </c>
      <c r="E17" s="222">
        <f t="shared" si="20"/>
        <v>288.19</v>
      </c>
      <c r="F17" s="382">
        <f t="shared" si="20"/>
        <v>288.19</v>
      </c>
      <c r="G17" s="382">
        <f t="shared" si="20"/>
        <v>288.19</v>
      </c>
      <c r="H17" s="222">
        <f t="shared" si="20"/>
        <v>288.19</v>
      </c>
      <c r="I17" s="222">
        <f t="shared" si="20"/>
        <v>288.19</v>
      </c>
      <c r="J17" s="222">
        <f t="shared" ref="J17:K17" si="21">(15.04-0.0065*J13)+273.15</f>
        <v>288.19</v>
      </c>
      <c r="K17" s="222">
        <f t="shared" si="21"/>
        <v>288.19</v>
      </c>
    </row>
    <row r="18" spans="1:11" ht="14.25" hidden="1" outlineLevel="1">
      <c r="A18" t="s">
        <v>568</v>
      </c>
      <c r="B18" s="222">
        <f>B17-273</f>
        <v>15.189999999999998</v>
      </c>
      <c r="C18" s="222">
        <f t="shared" ref="C18:I18" si="22">C17-273</f>
        <v>15.189999999999998</v>
      </c>
      <c r="D18" s="222">
        <f t="shared" si="22"/>
        <v>15.189999999999998</v>
      </c>
      <c r="E18" s="222">
        <f t="shared" si="22"/>
        <v>15.189999999999998</v>
      </c>
      <c r="F18" s="382">
        <f t="shared" si="22"/>
        <v>15.189999999999998</v>
      </c>
      <c r="G18" s="382">
        <f t="shared" si="22"/>
        <v>15.189999999999998</v>
      </c>
      <c r="H18" s="222">
        <f t="shared" si="22"/>
        <v>15.189999999999998</v>
      </c>
      <c r="I18" s="222">
        <f t="shared" si="22"/>
        <v>15.189999999999998</v>
      </c>
      <c r="J18" s="222">
        <f t="shared" ref="J18" si="23">J17-273</f>
        <v>15.189999999999998</v>
      </c>
      <c r="K18" s="222">
        <f t="shared" ref="K18" si="24">K17-273</f>
        <v>15.189999999999998</v>
      </c>
    </row>
    <row r="19" spans="1:11" ht="14.25" hidden="1" outlineLevel="1">
      <c r="A19" t="s">
        <v>348</v>
      </c>
      <c r="B19" s="217">
        <f>(1.76*10^-5)*((B17/273)^(3/2))*((273+110)/(B17+110))</f>
        <v>1.8360964149388051E-5</v>
      </c>
      <c r="C19" s="217">
        <f t="shared" ref="C19:I19" si="25">(1.76*10^-5)*((C17/273)^(3/2))*((273+110)/(C17+110))</f>
        <v>1.8360964149388051E-5</v>
      </c>
      <c r="D19" s="217">
        <f t="shared" si="25"/>
        <v>1.8360964149388051E-5</v>
      </c>
      <c r="E19" s="217">
        <f t="shared" si="25"/>
        <v>1.8360964149388051E-5</v>
      </c>
      <c r="F19" s="384">
        <f t="shared" si="25"/>
        <v>1.8360964149388051E-5</v>
      </c>
      <c r="G19" s="384">
        <f t="shared" si="25"/>
        <v>1.8360964149388051E-5</v>
      </c>
      <c r="H19" s="217">
        <f t="shared" si="25"/>
        <v>1.8360964149388051E-5</v>
      </c>
      <c r="I19" s="217">
        <f t="shared" si="25"/>
        <v>1.8360964149388051E-5</v>
      </c>
      <c r="J19" s="217">
        <f t="shared" ref="J19:K19" si="26">(1.76*10^-5)*((J17/273)^(3/2))*((273+110)/(J17+110))</f>
        <v>1.8360964149388051E-5</v>
      </c>
      <c r="K19" s="217">
        <f t="shared" si="26"/>
        <v>1.8360964149388051E-5</v>
      </c>
    </row>
    <row r="20" spans="1:11" ht="14.25" hidden="1" outlineLevel="1">
      <c r="A20" t="s">
        <v>349</v>
      </c>
      <c r="B20" s="217">
        <f t="shared" ref="B20:I20" si="27">B19/B16</f>
        <v>1.4957817712121631E-5</v>
      </c>
      <c r="C20" s="217">
        <f t="shared" si="27"/>
        <v>1.4957817712121631E-5</v>
      </c>
      <c r="D20" s="217">
        <f t="shared" si="27"/>
        <v>1.4957817712121631E-5</v>
      </c>
      <c r="E20" s="217">
        <f t="shared" si="27"/>
        <v>1.4957817712121631E-5</v>
      </c>
      <c r="F20" s="384">
        <f t="shared" si="27"/>
        <v>1.4957817712121631E-5</v>
      </c>
      <c r="G20" s="384">
        <f t="shared" si="27"/>
        <v>1.4957817712121631E-5</v>
      </c>
      <c r="H20" s="217">
        <f t="shared" si="27"/>
        <v>1.4957817712121631E-5</v>
      </c>
      <c r="I20" s="217">
        <f t="shared" si="27"/>
        <v>1.4957817712121631E-5</v>
      </c>
      <c r="J20" s="217">
        <f t="shared" ref="J20:K20" si="28">J19/J16</f>
        <v>1.4957817712121631E-5</v>
      </c>
      <c r="K20" s="217">
        <f t="shared" si="28"/>
        <v>1.4957817712121631E-5</v>
      </c>
    </row>
    <row r="21" spans="1:11" ht="14.25" hidden="1" outlineLevel="1">
      <c r="A21" t="s">
        <v>350</v>
      </c>
      <c r="B21" s="222">
        <v>9</v>
      </c>
      <c r="C21" s="222">
        <v>9</v>
      </c>
      <c r="D21" s="222">
        <v>9</v>
      </c>
      <c r="E21" s="222">
        <v>9</v>
      </c>
      <c r="F21" s="382">
        <v>9</v>
      </c>
      <c r="G21" s="382">
        <v>9</v>
      </c>
      <c r="H21" s="222">
        <v>9</v>
      </c>
      <c r="I21" s="222">
        <v>9</v>
      </c>
      <c r="J21" s="222">
        <v>9</v>
      </c>
      <c r="K21" s="222">
        <v>9</v>
      </c>
    </row>
    <row r="22" spans="1:11" ht="14.25" hidden="1" outlineLevel="1">
      <c r="A22" t="s">
        <v>359</v>
      </c>
    </row>
    <row r="23" spans="1:11" ht="14.25" hidden="1" outlineLevel="1">
      <c r="A23" t="s">
        <v>360</v>
      </c>
    </row>
    <row r="24" spans="1:11" ht="14.25" hidden="1" outlineLevel="1">
      <c r="A24" t="s">
        <v>361</v>
      </c>
    </row>
    <row r="25" spans="1:11" ht="14.25" hidden="1" outlineLevel="1">
      <c r="A25" t="s">
        <v>351</v>
      </c>
      <c r="B25" s="222">
        <f t="shared" ref="B25:I25" si="29">DEGREES(ATAN((B5+B21)/B3))</f>
        <v>23.788140971156999</v>
      </c>
      <c r="C25" s="222">
        <f t="shared" si="29"/>
        <v>19.442122150418559</v>
      </c>
      <c r="D25" s="222">
        <f t="shared" si="29"/>
        <v>19.759315630604384</v>
      </c>
      <c r="E25" s="222">
        <f t="shared" si="29"/>
        <v>3.0279322124746915</v>
      </c>
      <c r="F25" s="382">
        <f t="shared" si="29"/>
        <v>2.1637951681161911</v>
      </c>
      <c r="G25" s="382">
        <f t="shared" si="29"/>
        <v>31.29500621952031</v>
      </c>
      <c r="H25" s="222">
        <f t="shared" si="29"/>
        <v>35.819208113622771</v>
      </c>
      <c r="I25" s="222">
        <f t="shared" si="29"/>
        <v>40.575511549867386</v>
      </c>
      <c r="J25" s="222">
        <f t="shared" ref="J25:K25" si="30">DEGREES(ATAN((J5+J21)/J3))</f>
        <v>40.384762516200787</v>
      </c>
      <c r="K25" s="222">
        <f t="shared" si="30"/>
        <v>40.231381253916815</v>
      </c>
    </row>
    <row r="26" spans="1:11" ht="14.25" hidden="1" outlineLevel="1">
      <c r="A26" t="s">
        <v>352</v>
      </c>
      <c r="B26" s="222">
        <f t="shared" ref="B26:I26" si="31">DEGREES(ATAN((B4+B21)/B3))</f>
        <v>23.788140971156999</v>
      </c>
      <c r="C26" s="222">
        <f t="shared" si="31"/>
        <v>14.868642989421677</v>
      </c>
      <c r="D26" s="222">
        <f t="shared" si="31"/>
        <v>5.214997095347905</v>
      </c>
      <c r="E26" s="222">
        <f t="shared" si="31"/>
        <v>3.0279322124746915</v>
      </c>
      <c r="F26" s="382">
        <f t="shared" si="31"/>
        <v>2.1637951681161911</v>
      </c>
      <c r="G26" s="382">
        <f t="shared" si="31"/>
        <v>1.7492630599233292</v>
      </c>
      <c r="H26" s="222">
        <f t="shared" si="31"/>
        <v>1.2330988255836868</v>
      </c>
      <c r="I26" s="222">
        <f t="shared" si="31"/>
        <v>0.98899392607931946</v>
      </c>
      <c r="J26" s="222">
        <f t="shared" ref="J26:K26" si="32">DEGREES(ATAN((J4+J21)/J3))</f>
        <v>0.65936566448404499</v>
      </c>
      <c r="K26" s="222">
        <f t="shared" si="32"/>
        <v>0.39563057643734356</v>
      </c>
    </row>
    <row r="27" spans="1:11" ht="14.25" hidden="1" outlineLevel="1">
      <c r="A27" t="s">
        <v>353</v>
      </c>
      <c r="B27" s="222">
        <f t="shared" ref="B27:I27" si="33">RADIANS(B25)</f>
        <v>0.41518138287525108</v>
      </c>
      <c r="C27" s="222">
        <f t="shared" si="33"/>
        <v>0.33932904509972411</v>
      </c>
      <c r="D27" s="222">
        <f t="shared" si="33"/>
        <v>0.34486511569482614</v>
      </c>
      <c r="E27" s="222">
        <f t="shared" si="33"/>
        <v>5.2847386634879888E-2</v>
      </c>
      <c r="F27" s="382">
        <f t="shared" si="33"/>
        <v>3.776535002237176E-2</v>
      </c>
      <c r="G27" s="382">
        <f t="shared" si="33"/>
        <v>0.54620089796273275</v>
      </c>
      <c r="H27" s="222">
        <f t="shared" si="33"/>
        <v>0.62516311703978455</v>
      </c>
      <c r="I27" s="222">
        <f t="shared" si="33"/>
        <v>0.70817627222617319</v>
      </c>
      <c r="J27" s="222">
        <f t="shared" ref="J27:K27" si="34">RADIANS(J25)</f>
        <v>0.70484707354369358</v>
      </c>
      <c r="K27" s="222">
        <f t="shared" si="34"/>
        <v>0.70217006550597327</v>
      </c>
    </row>
    <row r="28" spans="1:11" ht="14.25" hidden="1" outlineLevel="1">
      <c r="A28" t="s">
        <v>354</v>
      </c>
      <c r="B28" s="222">
        <f t="shared" ref="B28:I28" si="35">RADIANS(B26)</f>
        <v>0.41518138287525108</v>
      </c>
      <c r="C28" s="222">
        <f t="shared" si="35"/>
        <v>0.25950677546898065</v>
      </c>
      <c r="D28" s="222">
        <f t="shared" si="35"/>
        <v>9.1018869795761598E-2</v>
      </c>
      <c r="E28" s="222">
        <f t="shared" si="35"/>
        <v>5.2847386634879888E-2</v>
      </c>
      <c r="F28" s="382">
        <f t="shared" si="35"/>
        <v>3.776535002237176E-2</v>
      </c>
      <c r="G28" s="382">
        <f t="shared" si="35"/>
        <v>3.0530399879172963E-2</v>
      </c>
      <c r="H28" s="222">
        <f t="shared" si="35"/>
        <v>2.1521634508910623E-2</v>
      </c>
      <c r="I28" s="222">
        <f t="shared" si="35"/>
        <v>1.7261200292309539E-2</v>
      </c>
      <c r="J28" s="222">
        <f t="shared" ref="J28:K28" si="36">RADIANS(J26)</f>
        <v>1.1508101819846824E-2</v>
      </c>
      <c r="K28" s="222">
        <f t="shared" si="36"/>
        <v>6.9050561803947422E-3</v>
      </c>
    </row>
    <row r="29" spans="1:11" ht="14.25" hidden="1" outlineLevel="1">
      <c r="A29" t="s">
        <v>355</v>
      </c>
      <c r="B29" s="222">
        <f t="shared" ref="B29:I29" si="37">0.5*B16*B2^2</f>
        <v>255.85186726055676</v>
      </c>
      <c r="C29" s="222">
        <f t="shared" si="37"/>
        <v>710.69963127932442</v>
      </c>
      <c r="D29" s="222">
        <f t="shared" si="37"/>
        <v>6396.2966815139198</v>
      </c>
      <c r="E29" s="222">
        <f t="shared" si="37"/>
        <v>17767.49078198311</v>
      </c>
      <c r="F29" s="382">
        <f t="shared" si="37"/>
        <v>34824.281932686892</v>
      </c>
      <c r="G29" s="382">
        <f t="shared" si="37"/>
        <v>71069.963127932439</v>
      </c>
      <c r="H29" s="222">
        <f t="shared" si="37"/>
        <v>159907.41703784798</v>
      </c>
      <c r="I29" s="222">
        <f t="shared" si="37"/>
        <v>284279.85251172975</v>
      </c>
      <c r="J29" s="222">
        <f t="shared" ref="J29:K29" si="38">0.5*J16*J2^2</f>
        <v>639629.6681513919</v>
      </c>
      <c r="K29" s="222">
        <f t="shared" si="38"/>
        <v>1776749.0781983112</v>
      </c>
    </row>
    <row r="30" spans="1:11" ht="14.25" hidden="1" outlineLevel="1">
      <c r="A30" t="s">
        <v>356</v>
      </c>
      <c r="B30" s="222">
        <f t="shared" ref="B30:K30" si="39">CrossSecAreaRocket</f>
        <v>1.3867686977437444E-2</v>
      </c>
      <c r="C30" s="222">
        <f t="shared" si="39"/>
        <v>1.3867686977437444E-2</v>
      </c>
      <c r="D30" s="222">
        <f t="shared" si="39"/>
        <v>1.3867686977437444E-2</v>
      </c>
      <c r="E30" s="222">
        <f t="shared" si="39"/>
        <v>1.3867686977437444E-2</v>
      </c>
      <c r="F30" s="382">
        <f t="shared" si="39"/>
        <v>1.3867686977437444E-2</v>
      </c>
      <c r="G30" s="382">
        <f t="shared" si="39"/>
        <v>1.3867686977437444E-2</v>
      </c>
      <c r="H30" s="222">
        <f t="shared" si="39"/>
        <v>1.3867686977437444E-2</v>
      </c>
      <c r="I30" s="222">
        <f t="shared" si="39"/>
        <v>1.3867686977437444E-2</v>
      </c>
      <c r="J30" s="222">
        <f t="shared" si="39"/>
        <v>1.3867686977437444E-2</v>
      </c>
      <c r="K30" s="222">
        <f t="shared" si="39"/>
        <v>1.3867686977437444E-2</v>
      </c>
    </row>
    <row r="31" spans="1:11" ht="15" customHeight="1" collapsed="1" thickBot="1"/>
    <row r="32" spans="1:11" ht="15.75" thickBot="1">
      <c r="A32" s="302" t="s">
        <v>362</v>
      </c>
    </row>
    <row r="33" spans="1:11" ht="14.25" hidden="1" outlineLevel="1">
      <c r="A33" t="s">
        <v>363</v>
      </c>
      <c r="B33" s="222">
        <f t="shared" ref="B33:K33" si="40">DiameterRocket</f>
        <v>12.7</v>
      </c>
      <c r="C33" s="222">
        <f t="shared" si="40"/>
        <v>12.7</v>
      </c>
      <c r="D33" s="222">
        <f t="shared" si="40"/>
        <v>12.7</v>
      </c>
      <c r="E33" s="222">
        <f t="shared" si="40"/>
        <v>12.7</v>
      </c>
      <c r="F33" s="382">
        <f t="shared" si="40"/>
        <v>12.7</v>
      </c>
      <c r="G33" s="382">
        <f t="shared" si="40"/>
        <v>12.7</v>
      </c>
      <c r="H33" s="222">
        <f t="shared" si="40"/>
        <v>12.7</v>
      </c>
      <c r="I33" s="222">
        <f t="shared" si="40"/>
        <v>12.7</v>
      </c>
      <c r="J33" s="222">
        <f t="shared" si="40"/>
        <v>12.7</v>
      </c>
      <c r="K33" s="222">
        <f t="shared" si="40"/>
        <v>12.7</v>
      </c>
    </row>
    <row r="34" spans="1:11" ht="14.25" hidden="1" outlineLevel="1">
      <c r="A34" t="s">
        <v>364</v>
      </c>
      <c r="B34" s="222">
        <f t="shared" ref="B34:I34" si="41">B33/100</f>
        <v>0.127</v>
      </c>
      <c r="C34" s="222">
        <f t="shared" si="41"/>
        <v>0.127</v>
      </c>
      <c r="D34" s="222">
        <f t="shared" si="41"/>
        <v>0.127</v>
      </c>
      <c r="E34" s="222">
        <f t="shared" si="41"/>
        <v>0.127</v>
      </c>
      <c r="F34" s="382">
        <f t="shared" si="41"/>
        <v>0.127</v>
      </c>
      <c r="G34" s="382">
        <f t="shared" si="41"/>
        <v>0.127</v>
      </c>
      <c r="H34" s="222">
        <f t="shared" si="41"/>
        <v>0.127</v>
      </c>
      <c r="I34" s="222">
        <f t="shared" si="41"/>
        <v>0.127</v>
      </c>
      <c r="J34" s="222">
        <f t="shared" ref="J34:K34" si="42">J33/100</f>
        <v>0.127</v>
      </c>
      <c r="K34" s="222">
        <f t="shared" si="42"/>
        <v>0.127</v>
      </c>
    </row>
    <row r="35" spans="1:11" ht="14.25" hidden="1" outlineLevel="1">
      <c r="A35" t="s">
        <v>365</v>
      </c>
      <c r="B35" s="294">
        <f t="shared" ref="B35:I35" si="43">((B39-B37)/(-B47))*(B47+B33/2)+B39</f>
        <v>17.116666666666667</v>
      </c>
      <c r="C35" s="294">
        <f t="shared" si="43"/>
        <v>17.116666666666667</v>
      </c>
      <c r="D35" s="294">
        <f t="shared" si="43"/>
        <v>17.116666666666667</v>
      </c>
      <c r="E35" s="294">
        <f t="shared" si="43"/>
        <v>17.116666666666667</v>
      </c>
      <c r="F35" s="385">
        <f t="shared" si="43"/>
        <v>17.116666666666667</v>
      </c>
      <c r="G35" s="385">
        <f t="shared" si="43"/>
        <v>17.116666666666667</v>
      </c>
      <c r="H35" s="294">
        <f t="shared" si="43"/>
        <v>17.116666666666667</v>
      </c>
      <c r="I35" s="294">
        <f t="shared" si="43"/>
        <v>17.116666666666667</v>
      </c>
      <c r="J35" s="294">
        <f t="shared" ref="J35:K35" si="44">((J39-J37)/(-J47))*(J47+J33/2)+J39</f>
        <v>17.116666666666667</v>
      </c>
      <c r="K35" s="294">
        <f t="shared" si="44"/>
        <v>17.116666666666667</v>
      </c>
    </row>
    <row r="36" spans="1:11" ht="14.25" hidden="1" outlineLevel="1">
      <c r="A36" t="s">
        <v>366</v>
      </c>
      <c r="B36" s="222">
        <f t="shared" ref="B36:I36" si="45">B35/100</f>
        <v>0.17116666666666666</v>
      </c>
      <c r="C36" s="222">
        <f t="shared" si="45"/>
        <v>0.17116666666666666</v>
      </c>
      <c r="D36" s="222">
        <f t="shared" si="45"/>
        <v>0.17116666666666666</v>
      </c>
      <c r="E36" s="222">
        <f t="shared" si="45"/>
        <v>0.17116666666666666</v>
      </c>
      <c r="F36" s="382">
        <f t="shared" si="45"/>
        <v>0.17116666666666666</v>
      </c>
      <c r="G36" s="382">
        <f t="shared" si="45"/>
        <v>0.17116666666666666</v>
      </c>
      <c r="H36" s="222">
        <f t="shared" si="45"/>
        <v>0.17116666666666666</v>
      </c>
      <c r="I36" s="222">
        <f t="shared" si="45"/>
        <v>0.17116666666666666</v>
      </c>
      <c r="J36" s="222">
        <f t="shared" ref="J36:K36" si="46">J35/100</f>
        <v>0.17116666666666666</v>
      </c>
      <c r="K36" s="222">
        <f t="shared" si="46"/>
        <v>0.17116666666666666</v>
      </c>
    </row>
    <row r="37" spans="1:11" hidden="1" outlineLevel="1">
      <c r="A37" s="304" t="s">
        <v>367</v>
      </c>
      <c r="B37" s="222">
        <v>15</v>
      </c>
      <c r="C37" s="222">
        <v>15</v>
      </c>
      <c r="D37" s="222">
        <v>15</v>
      </c>
      <c r="E37" s="222">
        <v>15</v>
      </c>
      <c r="F37" s="382">
        <v>15</v>
      </c>
      <c r="G37" s="382">
        <v>15</v>
      </c>
      <c r="H37" s="222">
        <v>15</v>
      </c>
      <c r="I37" s="222">
        <v>15</v>
      </c>
      <c r="J37" s="222">
        <v>15</v>
      </c>
      <c r="K37" s="222">
        <v>15</v>
      </c>
    </row>
    <row r="38" spans="1:11" ht="14.25" hidden="1" outlineLevel="1">
      <c r="A38" t="s">
        <v>364</v>
      </c>
      <c r="B38" s="222">
        <f t="shared" ref="B38:I38" si="47">B37/100</f>
        <v>0.15</v>
      </c>
      <c r="C38" s="222">
        <f t="shared" si="47"/>
        <v>0.15</v>
      </c>
      <c r="D38" s="222">
        <f t="shared" si="47"/>
        <v>0.15</v>
      </c>
      <c r="E38" s="222">
        <f t="shared" si="47"/>
        <v>0.15</v>
      </c>
      <c r="F38" s="382">
        <f t="shared" si="47"/>
        <v>0.15</v>
      </c>
      <c r="G38" s="382">
        <f t="shared" si="47"/>
        <v>0.15</v>
      </c>
      <c r="H38" s="222">
        <f t="shared" si="47"/>
        <v>0.15</v>
      </c>
      <c r="I38" s="222">
        <f t="shared" si="47"/>
        <v>0.15</v>
      </c>
      <c r="J38" s="222">
        <f t="shared" ref="J38:K38" si="48">J37/100</f>
        <v>0.15</v>
      </c>
      <c r="K38" s="222">
        <f t="shared" si="48"/>
        <v>0.15</v>
      </c>
    </row>
    <row r="39" spans="1:11" hidden="1" outlineLevel="1">
      <c r="A39" s="304" t="s">
        <v>368</v>
      </c>
      <c r="B39" s="222">
        <v>10</v>
      </c>
      <c r="C39" s="222">
        <v>10</v>
      </c>
      <c r="D39" s="222">
        <v>10</v>
      </c>
      <c r="E39" s="222">
        <v>10</v>
      </c>
      <c r="F39" s="382">
        <v>10</v>
      </c>
      <c r="G39" s="382">
        <v>10</v>
      </c>
      <c r="H39" s="222">
        <v>10</v>
      </c>
      <c r="I39" s="222">
        <v>10</v>
      </c>
      <c r="J39" s="222">
        <v>10</v>
      </c>
      <c r="K39" s="222">
        <v>10</v>
      </c>
    </row>
    <row r="40" spans="1:11" ht="14.25" hidden="1" outlineLevel="1">
      <c r="A40" t="s">
        <v>364</v>
      </c>
      <c r="B40" s="222">
        <f t="shared" ref="B40:I40" si="49">B39/100</f>
        <v>0.1</v>
      </c>
      <c r="C40" s="222">
        <f t="shared" si="49"/>
        <v>0.1</v>
      </c>
      <c r="D40" s="222">
        <f t="shared" si="49"/>
        <v>0.1</v>
      </c>
      <c r="E40" s="222">
        <f t="shared" si="49"/>
        <v>0.1</v>
      </c>
      <c r="F40" s="382">
        <f t="shared" si="49"/>
        <v>0.1</v>
      </c>
      <c r="G40" s="382">
        <f t="shared" si="49"/>
        <v>0.1</v>
      </c>
      <c r="H40" s="222">
        <f t="shared" si="49"/>
        <v>0.1</v>
      </c>
      <c r="I40" s="222">
        <f t="shared" si="49"/>
        <v>0.1</v>
      </c>
      <c r="J40" s="222">
        <f t="shared" ref="J40:K40" si="50">J39/100</f>
        <v>0.1</v>
      </c>
      <c r="K40" s="222">
        <f t="shared" si="50"/>
        <v>0.1</v>
      </c>
    </row>
    <row r="41" spans="1:11" hidden="1" outlineLevel="1">
      <c r="A41" s="304" t="s">
        <v>369</v>
      </c>
      <c r="B41" s="222">
        <v>2</v>
      </c>
      <c r="C41" s="222">
        <v>2</v>
      </c>
      <c r="D41" s="222">
        <v>2</v>
      </c>
      <c r="E41" s="222">
        <v>2</v>
      </c>
      <c r="F41" s="382">
        <v>2</v>
      </c>
      <c r="G41" s="382">
        <v>2</v>
      </c>
      <c r="H41" s="222">
        <v>2</v>
      </c>
      <c r="I41" s="222">
        <v>2</v>
      </c>
      <c r="J41" s="222">
        <v>2</v>
      </c>
      <c r="K41" s="222">
        <v>2</v>
      </c>
    </row>
    <row r="42" spans="1:11" ht="14.25" hidden="1" outlineLevel="1">
      <c r="A42" t="s">
        <v>364</v>
      </c>
      <c r="B42" s="222">
        <f t="shared" ref="B42:I42" si="51">B41/100</f>
        <v>0.02</v>
      </c>
      <c r="C42" s="222">
        <f t="shared" si="51"/>
        <v>0.02</v>
      </c>
      <c r="D42" s="222">
        <f t="shared" si="51"/>
        <v>0.02</v>
      </c>
      <c r="E42" s="222">
        <f t="shared" si="51"/>
        <v>0.02</v>
      </c>
      <c r="F42" s="382">
        <f t="shared" si="51"/>
        <v>0.02</v>
      </c>
      <c r="G42" s="382">
        <f t="shared" si="51"/>
        <v>0.02</v>
      </c>
      <c r="H42" s="222">
        <f t="shared" si="51"/>
        <v>0.02</v>
      </c>
      <c r="I42" s="222">
        <f t="shared" si="51"/>
        <v>0.02</v>
      </c>
      <c r="J42" s="222">
        <f t="shared" ref="J42:K42" si="52">J41/100</f>
        <v>0.02</v>
      </c>
      <c r="K42" s="222">
        <f t="shared" si="52"/>
        <v>0.02</v>
      </c>
    </row>
    <row r="43" spans="1:11" hidden="1" outlineLevel="1">
      <c r="A43" s="304" t="s">
        <v>370</v>
      </c>
      <c r="B43" s="222">
        <v>45</v>
      </c>
      <c r="C43" s="222">
        <v>45</v>
      </c>
      <c r="D43" s="222">
        <v>45</v>
      </c>
      <c r="E43" s="222">
        <v>45</v>
      </c>
      <c r="F43" s="382">
        <v>45</v>
      </c>
      <c r="G43" s="382">
        <v>45</v>
      </c>
      <c r="H43" s="222">
        <v>45</v>
      </c>
      <c r="I43" s="222">
        <v>45</v>
      </c>
      <c r="J43" s="222">
        <v>45</v>
      </c>
      <c r="K43" s="222">
        <v>45</v>
      </c>
    </row>
    <row r="44" spans="1:11" ht="14.25" hidden="1" outlineLevel="1">
      <c r="A44" t="s">
        <v>371</v>
      </c>
      <c r="B44" s="222">
        <f t="shared" ref="B44:I44" si="53">B39/B37</f>
        <v>0.66666666666666663</v>
      </c>
      <c r="C44" s="222">
        <f t="shared" si="53"/>
        <v>0.66666666666666663</v>
      </c>
      <c r="D44" s="222">
        <f t="shared" si="53"/>
        <v>0.66666666666666663</v>
      </c>
      <c r="E44" s="222">
        <f t="shared" si="53"/>
        <v>0.66666666666666663</v>
      </c>
      <c r="F44" s="382">
        <f t="shared" si="53"/>
        <v>0.66666666666666663</v>
      </c>
      <c r="G44" s="382">
        <f t="shared" si="53"/>
        <v>0.66666666666666663</v>
      </c>
      <c r="H44" s="222">
        <f t="shared" si="53"/>
        <v>0.66666666666666663</v>
      </c>
      <c r="I44" s="222">
        <f t="shared" si="53"/>
        <v>0.66666666666666663</v>
      </c>
      <c r="J44" s="222">
        <f t="shared" ref="J44:K44" si="54">J39/J37</f>
        <v>0.66666666666666663</v>
      </c>
      <c r="K44" s="222">
        <f t="shared" si="54"/>
        <v>0.66666666666666663</v>
      </c>
    </row>
    <row r="45" spans="1:11" ht="14.25" hidden="1" outlineLevel="1">
      <c r="A45" t="s">
        <v>372</v>
      </c>
      <c r="B45" s="222">
        <f t="shared" ref="B45:I45" si="55">B47+B33/2</f>
        <v>21.35</v>
      </c>
      <c r="C45" s="222">
        <f t="shared" si="55"/>
        <v>21.35</v>
      </c>
      <c r="D45" s="222">
        <f t="shared" si="55"/>
        <v>21.35</v>
      </c>
      <c r="E45" s="222">
        <f t="shared" si="55"/>
        <v>21.35</v>
      </c>
      <c r="F45" s="382">
        <f t="shared" si="55"/>
        <v>21.35</v>
      </c>
      <c r="G45" s="382">
        <f t="shared" si="55"/>
        <v>21.35</v>
      </c>
      <c r="H45" s="222">
        <f t="shared" si="55"/>
        <v>21.35</v>
      </c>
      <c r="I45" s="222">
        <f t="shared" si="55"/>
        <v>21.35</v>
      </c>
      <c r="J45" s="222">
        <f t="shared" ref="J45:K45" si="56">J47+J33/2</f>
        <v>21.35</v>
      </c>
      <c r="K45" s="222">
        <f t="shared" si="56"/>
        <v>21.35</v>
      </c>
    </row>
    <row r="46" spans="1:11" ht="14.25" hidden="1" outlineLevel="1">
      <c r="A46" t="s">
        <v>364</v>
      </c>
      <c r="B46" s="222">
        <f t="shared" ref="B46:I46" si="57">B45/100</f>
        <v>0.21350000000000002</v>
      </c>
      <c r="C46" s="222">
        <f t="shared" si="57"/>
        <v>0.21350000000000002</v>
      </c>
      <c r="D46" s="222">
        <f t="shared" si="57"/>
        <v>0.21350000000000002</v>
      </c>
      <c r="E46" s="222">
        <f t="shared" si="57"/>
        <v>0.21350000000000002</v>
      </c>
      <c r="F46" s="382">
        <f t="shared" si="57"/>
        <v>0.21350000000000002</v>
      </c>
      <c r="G46" s="382">
        <f t="shared" si="57"/>
        <v>0.21350000000000002</v>
      </c>
      <c r="H46" s="222">
        <f t="shared" si="57"/>
        <v>0.21350000000000002</v>
      </c>
      <c r="I46" s="222">
        <f t="shared" si="57"/>
        <v>0.21350000000000002</v>
      </c>
      <c r="J46" s="222">
        <f t="shared" ref="J46:K46" si="58">J45/100</f>
        <v>0.21350000000000002</v>
      </c>
      <c r="K46" s="222">
        <f t="shared" si="58"/>
        <v>0.21350000000000002</v>
      </c>
    </row>
    <row r="47" spans="1:11" hidden="1" outlineLevel="1">
      <c r="A47" s="304" t="s">
        <v>373</v>
      </c>
      <c r="B47" s="222">
        <v>15</v>
      </c>
      <c r="C47" s="222">
        <v>15</v>
      </c>
      <c r="D47" s="222">
        <v>15</v>
      </c>
      <c r="E47" s="222">
        <v>15</v>
      </c>
      <c r="F47" s="382">
        <v>15</v>
      </c>
      <c r="G47" s="382">
        <v>15</v>
      </c>
      <c r="H47" s="222">
        <v>15</v>
      </c>
      <c r="I47" s="222">
        <v>15</v>
      </c>
      <c r="J47" s="222">
        <v>15</v>
      </c>
      <c r="K47" s="222">
        <v>15</v>
      </c>
    </row>
    <row r="48" spans="1:11" ht="14.25" hidden="1" outlineLevel="1">
      <c r="A48" t="s">
        <v>366</v>
      </c>
      <c r="B48" s="222">
        <f t="shared" ref="B48:I48" si="59">B47/100</f>
        <v>0.15</v>
      </c>
      <c r="C48" s="222">
        <f t="shared" si="59"/>
        <v>0.15</v>
      </c>
      <c r="D48" s="222">
        <f t="shared" si="59"/>
        <v>0.15</v>
      </c>
      <c r="E48" s="222">
        <f t="shared" si="59"/>
        <v>0.15</v>
      </c>
      <c r="F48" s="382">
        <f t="shared" si="59"/>
        <v>0.15</v>
      </c>
      <c r="G48" s="382">
        <f t="shared" si="59"/>
        <v>0.15</v>
      </c>
      <c r="H48" s="222">
        <f t="shared" si="59"/>
        <v>0.15</v>
      </c>
      <c r="I48" s="222">
        <f t="shared" si="59"/>
        <v>0.15</v>
      </c>
      <c r="J48" s="222">
        <f t="shared" ref="J48:K48" si="60">J47/100</f>
        <v>0.15</v>
      </c>
      <c r="K48" s="222">
        <f t="shared" si="60"/>
        <v>0.15</v>
      </c>
    </row>
    <row r="49" spans="1:11" ht="14.25" hidden="1" outlineLevel="1">
      <c r="A49" t="s">
        <v>374</v>
      </c>
      <c r="B49" s="222">
        <f>(B40+B36)*B46/2</f>
        <v>2.894704166666667E-2</v>
      </c>
      <c r="C49" s="222">
        <f t="shared" ref="C49:I49" si="61">(C40+C36)*C46/2</f>
        <v>2.894704166666667E-2</v>
      </c>
      <c r="D49" s="222">
        <f t="shared" si="61"/>
        <v>2.894704166666667E-2</v>
      </c>
      <c r="E49" s="222">
        <f t="shared" si="61"/>
        <v>2.894704166666667E-2</v>
      </c>
      <c r="F49" s="382">
        <f t="shared" si="61"/>
        <v>2.894704166666667E-2</v>
      </c>
      <c r="G49" s="382">
        <f t="shared" si="61"/>
        <v>2.894704166666667E-2</v>
      </c>
      <c r="H49" s="222">
        <f t="shared" si="61"/>
        <v>2.894704166666667E-2</v>
      </c>
      <c r="I49" s="222">
        <f t="shared" si="61"/>
        <v>2.894704166666667E-2</v>
      </c>
      <c r="J49" s="222">
        <f t="shared" ref="J49:K49" si="62">(J40+J36)*J46/2</f>
        <v>2.894704166666667E-2</v>
      </c>
      <c r="K49" s="222">
        <f t="shared" si="62"/>
        <v>2.894704166666667E-2</v>
      </c>
    </row>
    <row r="50" spans="1:11" ht="14.25" hidden="1" outlineLevel="1">
      <c r="A50" t="s">
        <v>375</v>
      </c>
      <c r="B50" s="222">
        <f t="shared" ref="B50:I50" si="63">(B38+B40)*B48/2</f>
        <v>1.8749999999999999E-2</v>
      </c>
      <c r="C50" s="222">
        <f t="shared" si="63"/>
        <v>1.8749999999999999E-2</v>
      </c>
      <c r="D50" s="222">
        <f t="shared" si="63"/>
        <v>1.8749999999999999E-2</v>
      </c>
      <c r="E50" s="222">
        <f t="shared" si="63"/>
        <v>1.8749999999999999E-2</v>
      </c>
      <c r="F50" s="382">
        <f t="shared" si="63"/>
        <v>1.8749999999999999E-2</v>
      </c>
      <c r="G50" s="382">
        <f t="shared" si="63"/>
        <v>1.8749999999999999E-2</v>
      </c>
      <c r="H50" s="222">
        <f t="shared" si="63"/>
        <v>1.8749999999999999E-2</v>
      </c>
      <c r="I50" s="222">
        <f t="shared" si="63"/>
        <v>1.8749999999999999E-2</v>
      </c>
      <c r="J50" s="222">
        <f t="shared" ref="J50:K50" si="64">(J38+J40)*J48/2</f>
        <v>1.8749999999999999E-2</v>
      </c>
      <c r="K50" s="222">
        <f t="shared" si="64"/>
        <v>1.8749999999999999E-2</v>
      </c>
    </row>
    <row r="51" spans="1:11" ht="14.25" hidden="1" outlineLevel="1">
      <c r="A51" t="s">
        <v>376</v>
      </c>
      <c r="B51" s="294">
        <f>((B46+B46)^2)/(B49+B49)</f>
        <v>3.1493546404425325</v>
      </c>
      <c r="C51" s="294">
        <f t="shared" ref="C51:I51" si="65">((C46+C46)^2)/(C49+C49)</f>
        <v>3.1493546404425325</v>
      </c>
      <c r="D51" s="294">
        <f t="shared" si="65"/>
        <v>3.1493546404425325</v>
      </c>
      <c r="E51" s="294">
        <f t="shared" si="65"/>
        <v>3.1493546404425325</v>
      </c>
      <c r="F51" s="385">
        <f t="shared" si="65"/>
        <v>3.1493546404425325</v>
      </c>
      <c r="G51" s="385">
        <f t="shared" si="65"/>
        <v>3.1493546404425325</v>
      </c>
      <c r="H51" s="294">
        <f t="shared" si="65"/>
        <v>3.1493546404425325</v>
      </c>
      <c r="I51" s="294">
        <f t="shared" si="65"/>
        <v>3.1493546404425325</v>
      </c>
      <c r="J51" s="294">
        <f t="shared" ref="J51:K51" si="66">((J46+J46)^2)/(J49+J49)</f>
        <v>3.1493546404425325</v>
      </c>
      <c r="K51" s="294">
        <f t="shared" si="66"/>
        <v>3.1493546404425325</v>
      </c>
    </row>
    <row r="52" spans="1:11" collapsed="1" thickBot="1">
      <c r="B52" s="294"/>
      <c r="C52" s="294"/>
      <c r="D52" s="294"/>
      <c r="E52" s="294"/>
      <c r="F52" s="385"/>
      <c r="G52" s="385"/>
      <c r="H52" s="294"/>
      <c r="I52" s="294"/>
      <c r="J52" s="294"/>
      <c r="K52" s="294"/>
    </row>
    <row r="53" spans="1:11" ht="15.75" thickBot="1">
      <c r="A53" s="302" t="s">
        <v>377</v>
      </c>
      <c r="B53" s="294"/>
      <c r="C53" s="294"/>
      <c r="D53" s="294"/>
      <c r="E53" s="294"/>
      <c r="F53" s="385"/>
      <c r="G53" s="385"/>
      <c r="H53" s="294"/>
      <c r="I53" s="294"/>
      <c r="J53" s="294"/>
      <c r="K53" s="294"/>
    </row>
    <row r="54" spans="1:11" ht="14.25">
      <c r="A54" t="s">
        <v>378</v>
      </c>
      <c r="B54" s="294">
        <f t="shared" ref="B54:I54" si="67">B48/(10+1)</f>
        <v>1.3636363636363636E-2</v>
      </c>
      <c r="C54" s="294">
        <f t="shared" si="67"/>
        <v>1.3636363636363636E-2</v>
      </c>
      <c r="D54" s="294">
        <f t="shared" si="67"/>
        <v>1.3636363636363636E-2</v>
      </c>
      <c r="E54" s="294">
        <f t="shared" si="67"/>
        <v>1.3636363636363636E-2</v>
      </c>
      <c r="F54" s="385">
        <f t="shared" si="67"/>
        <v>1.3636363636363636E-2</v>
      </c>
      <c r="G54" s="385">
        <f t="shared" si="67"/>
        <v>1.3636363636363636E-2</v>
      </c>
      <c r="H54" s="294">
        <f t="shared" si="67"/>
        <v>1.3636363636363636E-2</v>
      </c>
      <c r="I54" s="294">
        <f t="shared" si="67"/>
        <v>1.3636363636363636E-2</v>
      </c>
      <c r="J54" s="294">
        <f t="shared" ref="J54:K54" si="68">J48/(10+1)</f>
        <v>1.3636363636363636E-2</v>
      </c>
      <c r="K54" s="294">
        <f t="shared" si="68"/>
        <v>1.3636363636363636E-2</v>
      </c>
    </row>
    <row r="55" spans="1:11" ht="14.25">
      <c r="A55" t="s">
        <v>379</v>
      </c>
      <c r="B55" s="294">
        <f t="shared" ref="B55:I55" si="69">(B37-B39)/(-B47)</f>
        <v>-0.33333333333333331</v>
      </c>
      <c r="C55" s="294">
        <f t="shared" si="69"/>
        <v>-0.33333333333333331</v>
      </c>
      <c r="D55" s="294">
        <f t="shared" si="69"/>
        <v>-0.33333333333333331</v>
      </c>
      <c r="E55" s="294">
        <f t="shared" si="69"/>
        <v>-0.33333333333333331</v>
      </c>
      <c r="F55" s="385">
        <f t="shared" si="69"/>
        <v>-0.33333333333333331</v>
      </c>
      <c r="G55" s="385">
        <f t="shared" si="69"/>
        <v>-0.33333333333333331</v>
      </c>
      <c r="H55" s="294">
        <f t="shared" si="69"/>
        <v>-0.33333333333333331</v>
      </c>
      <c r="I55" s="294">
        <f t="shared" si="69"/>
        <v>-0.33333333333333331</v>
      </c>
      <c r="J55" s="294">
        <f t="shared" ref="J55:K55" si="70">(J37-J39)/(-J47)</f>
        <v>-0.33333333333333331</v>
      </c>
      <c r="K55" s="294">
        <f t="shared" si="70"/>
        <v>-0.33333333333333331</v>
      </c>
    </row>
    <row r="56" spans="1:11" ht="14.25">
      <c r="A56" t="s">
        <v>380</v>
      </c>
      <c r="B56" s="294"/>
      <c r="C56" s="294"/>
      <c r="D56" s="294"/>
      <c r="E56" s="294"/>
      <c r="F56" s="385"/>
      <c r="G56" s="385"/>
      <c r="H56" s="294"/>
      <c r="I56" s="294"/>
      <c r="J56" s="294"/>
      <c r="K56" s="294"/>
    </row>
    <row r="57" spans="1:11" ht="14.25" hidden="1" outlineLevel="1">
      <c r="A57">
        <v>1</v>
      </c>
      <c r="B57" s="294">
        <f>(B54/2)</f>
        <v>6.8181818181818179E-3</v>
      </c>
      <c r="C57" s="294">
        <f t="shared" ref="C57:I57" si="71">(C54/2)</f>
        <v>6.8181818181818179E-3</v>
      </c>
      <c r="D57" s="294">
        <f t="shared" si="71"/>
        <v>6.8181818181818179E-3</v>
      </c>
      <c r="E57" s="294">
        <f t="shared" si="71"/>
        <v>6.8181818181818179E-3</v>
      </c>
      <c r="F57" s="385">
        <f t="shared" si="71"/>
        <v>6.8181818181818179E-3</v>
      </c>
      <c r="G57" s="385">
        <f t="shared" si="71"/>
        <v>6.8181818181818179E-3</v>
      </c>
      <c r="H57" s="294">
        <f t="shared" si="71"/>
        <v>6.8181818181818179E-3</v>
      </c>
      <c r="I57" s="294">
        <f t="shared" si="71"/>
        <v>6.8181818181818179E-3</v>
      </c>
      <c r="J57" s="294">
        <f t="shared" ref="J57:K57" si="72">(J54/2)</f>
        <v>6.8181818181818179E-3</v>
      </c>
      <c r="K57" s="294">
        <f t="shared" si="72"/>
        <v>6.8181818181818179E-3</v>
      </c>
    </row>
    <row r="58" spans="1:11" ht="14.25" hidden="1" outlineLevel="1">
      <c r="A58">
        <v>2</v>
      </c>
      <c r="B58" s="294">
        <f>B57+B54</f>
        <v>2.0454545454545454E-2</v>
      </c>
      <c r="C58" s="294">
        <f t="shared" ref="C58:I58" si="73">C57+C54</f>
        <v>2.0454545454545454E-2</v>
      </c>
      <c r="D58" s="294">
        <f t="shared" si="73"/>
        <v>2.0454545454545454E-2</v>
      </c>
      <c r="E58" s="294">
        <f t="shared" si="73"/>
        <v>2.0454545454545454E-2</v>
      </c>
      <c r="F58" s="385">
        <f t="shared" si="73"/>
        <v>2.0454545454545454E-2</v>
      </c>
      <c r="G58" s="385">
        <f t="shared" si="73"/>
        <v>2.0454545454545454E-2</v>
      </c>
      <c r="H58" s="294">
        <f t="shared" si="73"/>
        <v>2.0454545454545454E-2</v>
      </c>
      <c r="I58" s="294">
        <f t="shared" si="73"/>
        <v>2.0454545454545454E-2</v>
      </c>
      <c r="J58" s="294">
        <f t="shared" ref="J58" si="74">J57+J54</f>
        <v>2.0454545454545454E-2</v>
      </c>
      <c r="K58" s="294">
        <f t="shared" ref="K58" si="75">K57+K54</f>
        <v>2.0454545454545454E-2</v>
      </c>
    </row>
    <row r="59" spans="1:11" ht="14.25" hidden="1" outlineLevel="1">
      <c r="A59">
        <v>3</v>
      </c>
      <c r="B59" s="294">
        <f t="shared" ref="B59:I59" si="76">B58+B$54</f>
        <v>3.4090909090909088E-2</v>
      </c>
      <c r="C59" s="294">
        <f t="shared" si="76"/>
        <v>3.4090909090909088E-2</v>
      </c>
      <c r="D59" s="294">
        <f t="shared" si="76"/>
        <v>3.4090909090909088E-2</v>
      </c>
      <c r="E59" s="294">
        <f t="shared" si="76"/>
        <v>3.4090909090909088E-2</v>
      </c>
      <c r="F59" s="385">
        <f t="shared" si="76"/>
        <v>3.4090909090909088E-2</v>
      </c>
      <c r="G59" s="385">
        <f t="shared" si="76"/>
        <v>3.4090909090909088E-2</v>
      </c>
      <c r="H59" s="294">
        <f t="shared" si="76"/>
        <v>3.4090909090909088E-2</v>
      </c>
      <c r="I59" s="294">
        <f t="shared" si="76"/>
        <v>3.4090909090909088E-2</v>
      </c>
      <c r="J59" s="294">
        <f t="shared" ref="J59:K59" si="77">J58+J$54</f>
        <v>3.4090909090909088E-2</v>
      </c>
      <c r="K59" s="294">
        <f t="shared" si="77"/>
        <v>3.4090909090909088E-2</v>
      </c>
    </row>
    <row r="60" spans="1:11" ht="14.25" hidden="1" outlineLevel="1">
      <c r="A60">
        <v>4</v>
      </c>
      <c r="B60" s="294">
        <f t="shared" ref="B60:I67" si="78">B59+B$54</f>
        <v>4.7727272727272722E-2</v>
      </c>
      <c r="C60" s="294">
        <f t="shared" si="78"/>
        <v>4.7727272727272722E-2</v>
      </c>
      <c r="D60" s="294">
        <f t="shared" si="78"/>
        <v>4.7727272727272722E-2</v>
      </c>
      <c r="E60" s="294">
        <f t="shared" si="78"/>
        <v>4.7727272727272722E-2</v>
      </c>
      <c r="F60" s="385">
        <f t="shared" si="78"/>
        <v>4.7727272727272722E-2</v>
      </c>
      <c r="G60" s="385">
        <f t="shared" si="78"/>
        <v>4.7727272727272722E-2</v>
      </c>
      <c r="H60" s="294">
        <f t="shared" si="78"/>
        <v>4.7727272727272722E-2</v>
      </c>
      <c r="I60" s="294">
        <f t="shared" si="78"/>
        <v>4.7727272727272722E-2</v>
      </c>
      <c r="J60" s="294">
        <f t="shared" ref="J60:K60" si="79">J59+J$54</f>
        <v>4.7727272727272722E-2</v>
      </c>
      <c r="K60" s="294">
        <f t="shared" si="79"/>
        <v>4.7727272727272722E-2</v>
      </c>
    </row>
    <row r="61" spans="1:11" ht="14.25" hidden="1" outlineLevel="1">
      <c r="A61">
        <v>5</v>
      </c>
      <c r="B61" s="294">
        <f t="shared" si="78"/>
        <v>6.1363636363636356E-2</v>
      </c>
      <c r="C61" s="294">
        <f t="shared" si="78"/>
        <v>6.1363636363636356E-2</v>
      </c>
      <c r="D61" s="294">
        <f t="shared" si="78"/>
        <v>6.1363636363636356E-2</v>
      </c>
      <c r="E61" s="294">
        <f t="shared" si="78"/>
        <v>6.1363636363636356E-2</v>
      </c>
      <c r="F61" s="385">
        <f t="shared" si="78"/>
        <v>6.1363636363636356E-2</v>
      </c>
      <c r="G61" s="385">
        <f t="shared" si="78"/>
        <v>6.1363636363636356E-2</v>
      </c>
      <c r="H61" s="294">
        <f t="shared" si="78"/>
        <v>6.1363636363636356E-2</v>
      </c>
      <c r="I61" s="294">
        <f t="shared" si="78"/>
        <v>6.1363636363636356E-2</v>
      </c>
      <c r="J61" s="294">
        <f t="shared" ref="J61:K61" si="80">J60+J$54</f>
        <v>6.1363636363636356E-2</v>
      </c>
      <c r="K61" s="294">
        <f t="shared" si="80"/>
        <v>6.1363636363636356E-2</v>
      </c>
    </row>
    <row r="62" spans="1:11" ht="14.25" hidden="1" outlineLevel="1">
      <c r="A62">
        <v>6</v>
      </c>
      <c r="B62" s="294">
        <f t="shared" si="78"/>
        <v>7.4999999999999997E-2</v>
      </c>
      <c r="C62" s="294">
        <f t="shared" si="78"/>
        <v>7.4999999999999997E-2</v>
      </c>
      <c r="D62" s="294">
        <f t="shared" si="78"/>
        <v>7.4999999999999997E-2</v>
      </c>
      <c r="E62" s="294">
        <f t="shared" si="78"/>
        <v>7.4999999999999997E-2</v>
      </c>
      <c r="F62" s="385">
        <f t="shared" si="78"/>
        <v>7.4999999999999997E-2</v>
      </c>
      <c r="G62" s="385">
        <f t="shared" si="78"/>
        <v>7.4999999999999997E-2</v>
      </c>
      <c r="H62" s="294">
        <f t="shared" si="78"/>
        <v>7.4999999999999997E-2</v>
      </c>
      <c r="I62" s="294">
        <f t="shared" si="78"/>
        <v>7.4999999999999997E-2</v>
      </c>
      <c r="J62" s="294">
        <f t="shared" ref="J62:K62" si="81">J61+J$54</f>
        <v>7.4999999999999997E-2</v>
      </c>
      <c r="K62" s="294">
        <f t="shared" si="81"/>
        <v>7.4999999999999997E-2</v>
      </c>
    </row>
    <row r="63" spans="1:11" ht="14.25" hidden="1" outlineLevel="1">
      <c r="A63">
        <v>7</v>
      </c>
      <c r="B63" s="294">
        <f t="shared" si="78"/>
        <v>8.8636363636363638E-2</v>
      </c>
      <c r="C63" s="294">
        <f t="shared" si="78"/>
        <v>8.8636363636363638E-2</v>
      </c>
      <c r="D63" s="294">
        <f t="shared" si="78"/>
        <v>8.8636363636363638E-2</v>
      </c>
      <c r="E63" s="294">
        <f t="shared" si="78"/>
        <v>8.8636363636363638E-2</v>
      </c>
      <c r="F63" s="385">
        <f t="shared" si="78"/>
        <v>8.8636363636363638E-2</v>
      </c>
      <c r="G63" s="385">
        <f t="shared" si="78"/>
        <v>8.8636363636363638E-2</v>
      </c>
      <c r="H63" s="294">
        <f t="shared" si="78"/>
        <v>8.8636363636363638E-2</v>
      </c>
      <c r="I63" s="294">
        <f t="shared" si="78"/>
        <v>8.8636363636363638E-2</v>
      </c>
      <c r="J63" s="294">
        <f t="shared" ref="J63:K63" si="82">J62+J$54</f>
        <v>8.8636363636363638E-2</v>
      </c>
      <c r="K63" s="294">
        <f t="shared" si="82"/>
        <v>8.8636363636363638E-2</v>
      </c>
    </row>
    <row r="64" spans="1:11" ht="14.25" hidden="1" outlineLevel="1">
      <c r="A64">
        <v>8</v>
      </c>
      <c r="B64" s="294">
        <f t="shared" si="78"/>
        <v>0.10227272727272728</v>
      </c>
      <c r="C64" s="294">
        <f t="shared" si="78"/>
        <v>0.10227272727272728</v>
      </c>
      <c r="D64" s="294">
        <f t="shared" si="78"/>
        <v>0.10227272727272728</v>
      </c>
      <c r="E64" s="294">
        <f t="shared" si="78"/>
        <v>0.10227272727272728</v>
      </c>
      <c r="F64" s="385">
        <f t="shared" si="78"/>
        <v>0.10227272727272728</v>
      </c>
      <c r="G64" s="385">
        <f t="shared" si="78"/>
        <v>0.10227272727272728</v>
      </c>
      <c r="H64" s="294">
        <f t="shared" si="78"/>
        <v>0.10227272727272728</v>
      </c>
      <c r="I64" s="294">
        <f t="shared" si="78"/>
        <v>0.10227272727272728</v>
      </c>
      <c r="J64" s="294">
        <f t="shared" ref="J64:K64" si="83">J63+J$54</f>
        <v>0.10227272727272728</v>
      </c>
      <c r="K64" s="294">
        <f t="shared" si="83"/>
        <v>0.10227272727272728</v>
      </c>
    </row>
    <row r="65" spans="1:11" ht="14.25" hidden="1" outlineLevel="1">
      <c r="A65">
        <v>9</v>
      </c>
      <c r="B65" s="294">
        <f t="shared" si="78"/>
        <v>0.11590909090909092</v>
      </c>
      <c r="C65" s="294">
        <f t="shared" si="78"/>
        <v>0.11590909090909092</v>
      </c>
      <c r="D65" s="294">
        <f t="shared" si="78"/>
        <v>0.11590909090909092</v>
      </c>
      <c r="E65" s="294">
        <f t="shared" si="78"/>
        <v>0.11590909090909092</v>
      </c>
      <c r="F65" s="385">
        <f t="shared" si="78"/>
        <v>0.11590909090909092</v>
      </c>
      <c r="G65" s="385">
        <f t="shared" si="78"/>
        <v>0.11590909090909092</v>
      </c>
      <c r="H65" s="294">
        <f t="shared" si="78"/>
        <v>0.11590909090909092</v>
      </c>
      <c r="I65" s="294">
        <f t="shared" si="78"/>
        <v>0.11590909090909092</v>
      </c>
      <c r="J65" s="294">
        <f t="shared" ref="J65:K65" si="84">J64+J$54</f>
        <v>0.11590909090909092</v>
      </c>
      <c r="K65" s="294">
        <f t="shared" si="84"/>
        <v>0.11590909090909092</v>
      </c>
    </row>
    <row r="66" spans="1:11" ht="14.25" hidden="1" outlineLevel="1">
      <c r="A66">
        <v>10</v>
      </c>
      <c r="B66" s="294">
        <f t="shared" si="78"/>
        <v>0.12954545454545455</v>
      </c>
      <c r="C66" s="294">
        <f t="shared" si="78"/>
        <v>0.12954545454545455</v>
      </c>
      <c r="D66" s="294">
        <f t="shared" si="78"/>
        <v>0.12954545454545455</v>
      </c>
      <c r="E66" s="294">
        <f t="shared" si="78"/>
        <v>0.12954545454545455</v>
      </c>
      <c r="F66" s="385">
        <f t="shared" si="78"/>
        <v>0.12954545454545455</v>
      </c>
      <c r="G66" s="385">
        <f t="shared" si="78"/>
        <v>0.12954545454545455</v>
      </c>
      <c r="H66" s="294">
        <f t="shared" si="78"/>
        <v>0.12954545454545455</v>
      </c>
      <c r="I66" s="294">
        <f t="shared" si="78"/>
        <v>0.12954545454545455</v>
      </c>
      <c r="J66" s="294">
        <f t="shared" ref="J66:K66" si="85">J65+J$54</f>
        <v>0.12954545454545455</v>
      </c>
      <c r="K66" s="294">
        <f t="shared" si="85"/>
        <v>0.12954545454545455</v>
      </c>
    </row>
    <row r="67" spans="1:11" ht="14.25" hidden="1" outlineLevel="1">
      <c r="A67">
        <v>11</v>
      </c>
      <c r="B67" s="294">
        <f t="shared" si="78"/>
        <v>0.14318181818181819</v>
      </c>
      <c r="C67" s="294">
        <f t="shared" si="78"/>
        <v>0.14318181818181819</v>
      </c>
      <c r="D67" s="294">
        <f t="shared" si="78"/>
        <v>0.14318181818181819</v>
      </c>
      <c r="E67" s="294">
        <f t="shared" si="78"/>
        <v>0.14318181818181819</v>
      </c>
      <c r="F67" s="385">
        <f t="shared" si="78"/>
        <v>0.14318181818181819</v>
      </c>
      <c r="G67" s="385">
        <f t="shared" si="78"/>
        <v>0.14318181818181819</v>
      </c>
      <c r="H67" s="294">
        <f t="shared" si="78"/>
        <v>0.14318181818181819</v>
      </c>
      <c r="I67" s="294">
        <f t="shared" si="78"/>
        <v>0.14318181818181819</v>
      </c>
      <c r="J67" s="294">
        <f t="shared" ref="J67:K67" si="86">J66+J$54</f>
        <v>0.14318181818181819</v>
      </c>
      <c r="K67" s="294">
        <f t="shared" si="86"/>
        <v>0.14318181818181819</v>
      </c>
    </row>
    <row r="68" spans="1:11" ht="14.25" collapsed="1">
      <c r="A68" t="s">
        <v>381</v>
      </c>
      <c r="B68" s="294"/>
      <c r="C68" s="294"/>
      <c r="D68" s="294"/>
      <c r="E68" s="294"/>
      <c r="F68" s="385"/>
      <c r="G68" s="385"/>
      <c r="H68" s="294"/>
      <c r="I68" s="294"/>
      <c r="J68" s="294"/>
      <c r="K68" s="294"/>
    </row>
    <row r="69" spans="1:11" ht="14.25" hidden="1" outlineLevel="1">
      <c r="A69">
        <v>1</v>
      </c>
      <c r="B69" s="294">
        <f t="shared" ref="B69:I69" si="87">(B57*B$55)+B$38</f>
        <v>0.14772727272727273</v>
      </c>
      <c r="C69" s="294">
        <f t="shared" si="87"/>
        <v>0.14772727272727273</v>
      </c>
      <c r="D69" s="294">
        <f t="shared" si="87"/>
        <v>0.14772727272727273</v>
      </c>
      <c r="E69" s="294">
        <f t="shared" si="87"/>
        <v>0.14772727272727273</v>
      </c>
      <c r="F69" s="385">
        <f t="shared" si="87"/>
        <v>0.14772727272727273</v>
      </c>
      <c r="G69" s="385">
        <f t="shared" si="87"/>
        <v>0.14772727272727273</v>
      </c>
      <c r="H69" s="294">
        <f t="shared" si="87"/>
        <v>0.14772727272727273</v>
      </c>
      <c r="I69" s="294">
        <f t="shared" si="87"/>
        <v>0.14772727272727273</v>
      </c>
      <c r="J69" s="294">
        <f t="shared" ref="J69:K69" si="88">(J57*J$55)+J$38</f>
        <v>0.14772727272727273</v>
      </c>
      <c r="K69" s="294">
        <f t="shared" si="88"/>
        <v>0.14772727272727273</v>
      </c>
    </row>
    <row r="70" spans="1:11" ht="14.25" hidden="1" outlineLevel="1">
      <c r="A70">
        <v>2</v>
      </c>
      <c r="B70" s="294">
        <f t="shared" ref="B70:I70" si="89">(B58*B$55)+B$38</f>
        <v>0.14318181818181819</v>
      </c>
      <c r="C70" s="294">
        <f t="shared" si="89"/>
        <v>0.14318181818181819</v>
      </c>
      <c r="D70" s="294">
        <f t="shared" si="89"/>
        <v>0.14318181818181819</v>
      </c>
      <c r="E70" s="294">
        <f t="shared" si="89"/>
        <v>0.14318181818181819</v>
      </c>
      <c r="F70" s="385">
        <f t="shared" si="89"/>
        <v>0.14318181818181819</v>
      </c>
      <c r="G70" s="385">
        <f t="shared" si="89"/>
        <v>0.14318181818181819</v>
      </c>
      <c r="H70" s="294">
        <f t="shared" si="89"/>
        <v>0.14318181818181819</v>
      </c>
      <c r="I70" s="294">
        <f t="shared" si="89"/>
        <v>0.14318181818181819</v>
      </c>
      <c r="J70" s="294">
        <f t="shared" ref="J70:K70" si="90">(J58*J$55)+J$38</f>
        <v>0.14318181818181819</v>
      </c>
      <c r="K70" s="294">
        <f t="shared" si="90"/>
        <v>0.14318181818181819</v>
      </c>
    </row>
    <row r="71" spans="1:11" ht="14.25" hidden="1" outlineLevel="1">
      <c r="A71">
        <v>3</v>
      </c>
      <c r="B71" s="294">
        <f t="shared" ref="B71:I71" si="91">(B59*B$55)+B$38</f>
        <v>0.13863636363636364</v>
      </c>
      <c r="C71" s="294">
        <f t="shared" si="91"/>
        <v>0.13863636363636364</v>
      </c>
      <c r="D71" s="294">
        <f t="shared" si="91"/>
        <v>0.13863636363636364</v>
      </c>
      <c r="E71" s="294">
        <f t="shared" si="91"/>
        <v>0.13863636363636364</v>
      </c>
      <c r="F71" s="385">
        <f t="shared" si="91"/>
        <v>0.13863636363636364</v>
      </c>
      <c r="G71" s="385">
        <f t="shared" si="91"/>
        <v>0.13863636363636364</v>
      </c>
      <c r="H71" s="294">
        <f t="shared" si="91"/>
        <v>0.13863636363636364</v>
      </c>
      <c r="I71" s="294">
        <f t="shared" si="91"/>
        <v>0.13863636363636364</v>
      </c>
      <c r="J71" s="294">
        <f t="shared" ref="J71:K71" si="92">(J59*J$55)+J$38</f>
        <v>0.13863636363636364</v>
      </c>
      <c r="K71" s="294">
        <f t="shared" si="92"/>
        <v>0.13863636363636364</v>
      </c>
    </row>
    <row r="72" spans="1:11" ht="14.25" hidden="1" outlineLevel="1">
      <c r="A72">
        <v>4</v>
      </c>
      <c r="B72" s="294">
        <f t="shared" ref="B72:I72" si="93">(B60*B$55)+B$38</f>
        <v>0.13409090909090909</v>
      </c>
      <c r="C72" s="294">
        <f t="shared" si="93"/>
        <v>0.13409090909090909</v>
      </c>
      <c r="D72" s="294">
        <f t="shared" si="93"/>
        <v>0.13409090909090909</v>
      </c>
      <c r="E72" s="294">
        <f t="shared" si="93"/>
        <v>0.13409090909090909</v>
      </c>
      <c r="F72" s="385">
        <f t="shared" si="93"/>
        <v>0.13409090909090909</v>
      </c>
      <c r="G72" s="385">
        <f t="shared" si="93"/>
        <v>0.13409090909090909</v>
      </c>
      <c r="H72" s="294">
        <f t="shared" si="93"/>
        <v>0.13409090909090909</v>
      </c>
      <c r="I72" s="294">
        <f t="shared" si="93"/>
        <v>0.13409090909090909</v>
      </c>
      <c r="J72" s="294">
        <f t="shared" ref="J72:K72" si="94">(J60*J$55)+J$38</f>
        <v>0.13409090909090909</v>
      </c>
      <c r="K72" s="294">
        <f t="shared" si="94"/>
        <v>0.13409090909090909</v>
      </c>
    </row>
    <row r="73" spans="1:11" ht="14.25" hidden="1" outlineLevel="1">
      <c r="A73">
        <v>5</v>
      </c>
      <c r="B73" s="294">
        <f t="shared" ref="B73:I73" si="95">(B61*B$55)+B$38</f>
        <v>0.12954545454545455</v>
      </c>
      <c r="C73" s="294">
        <f t="shared" si="95"/>
        <v>0.12954545454545455</v>
      </c>
      <c r="D73" s="294">
        <f t="shared" si="95"/>
        <v>0.12954545454545455</v>
      </c>
      <c r="E73" s="294">
        <f t="shared" si="95"/>
        <v>0.12954545454545455</v>
      </c>
      <c r="F73" s="385">
        <f t="shared" si="95"/>
        <v>0.12954545454545455</v>
      </c>
      <c r="G73" s="385">
        <f t="shared" si="95"/>
        <v>0.12954545454545455</v>
      </c>
      <c r="H73" s="294">
        <f t="shared" si="95"/>
        <v>0.12954545454545455</v>
      </c>
      <c r="I73" s="294">
        <f t="shared" si="95"/>
        <v>0.12954545454545455</v>
      </c>
      <c r="J73" s="294">
        <f t="shared" ref="J73:K73" si="96">(J61*J$55)+J$38</f>
        <v>0.12954545454545455</v>
      </c>
      <c r="K73" s="294">
        <f t="shared" si="96"/>
        <v>0.12954545454545455</v>
      </c>
    </row>
    <row r="74" spans="1:11" ht="14.25" hidden="1" outlineLevel="1">
      <c r="A74">
        <v>6</v>
      </c>
      <c r="B74" s="294">
        <f t="shared" ref="B74:I74" si="97">(B62*B$55)+B$38</f>
        <v>0.125</v>
      </c>
      <c r="C74" s="294">
        <f t="shared" si="97"/>
        <v>0.125</v>
      </c>
      <c r="D74" s="294">
        <f t="shared" si="97"/>
        <v>0.125</v>
      </c>
      <c r="E74" s="294">
        <f t="shared" si="97"/>
        <v>0.125</v>
      </c>
      <c r="F74" s="385">
        <f t="shared" si="97"/>
        <v>0.125</v>
      </c>
      <c r="G74" s="385">
        <f t="shared" si="97"/>
        <v>0.125</v>
      </c>
      <c r="H74" s="294">
        <f t="shared" si="97"/>
        <v>0.125</v>
      </c>
      <c r="I74" s="294">
        <f t="shared" si="97"/>
        <v>0.125</v>
      </c>
      <c r="J74" s="294">
        <f t="shared" ref="J74:K74" si="98">(J62*J$55)+J$38</f>
        <v>0.125</v>
      </c>
      <c r="K74" s="294">
        <f t="shared" si="98"/>
        <v>0.125</v>
      </c>
    </row>
    <row r="75" spans="1:11" ht="14.25" hidden="1" outlineLevel="1">
      <c r="A75">
        <v>7</v>
      </c>
      <c r="B75" s="294">
        <f t="shared" ref="B75:I75" si="99">(B63*B$55)+B$38</f>
        <v>0.12045454545454545</v>
      </c>
      <c r="C75" s="294">
        <f t="shared" si="99"/>
        <v>0.12045454545454545</v>
      </c>
      <c r="D75" s="294">
        <f t="shared" si="99"/>
        <v>0.12045454545454545</v>
      </c>
      <c r="E75" s="294">
        <f t="shared" si="99"/>
        <v>0.12045454545454545</v>
      </c>
      <c r="F75" s="385">
        <f t="shared" si="99"/>
        <v>0.12045454545454545</v>
      </c>
      <c r="G75" s="385">
        <f t="shared" si="99"/>
        <v>0.12045454545454545</v>
      </c>
      <c r="H75" s="294">
        <f t="shared" si="99"/>
        <v>0.12045454545454545</v>
      </c>
      <c r="I75" s="294">
        <f t="shared" si="99"/>
        <v>0.12045454545454545</v>
      </c>
      <c r="J75" s="294">
        <f t="shared" ref="J75:K75" si="100">(J63*J$55)+J$38</f>
        <v>0.12045454545454545</v>
      </c>
      <c r="K75" s="294">
        <f t="shared" si="100"/>
        <v>0.12045454545454545</v>
      </c>
    </row>
    <row r="76" spans="1:11" ht="14.25" hidden="1" outlineLevel="1">
      <c r="A76">
        <v>8</v>
      </c>
      <c r="B76" s="294">
        <f t="shared" ref="B76:I76" si="101">(B64*B$55)+B$38</f>
        <v>0.11590909090909091</v>
      </c>
      <c r="C76" s="294">
        <f t="shared" si="101"/>
        <v>0.11590909090909091</v>
      </c>
      <c r="D76" s="294">
        <f t="shared" si="101"/>
        <v>0.11590909090909091</v>
      </c>
      <c r="E76" s="294">
        <f t="shared" si="101"/>
        <v>0.11590909090909091</v>
      </c>
      <c r="F76" s="385">
        <f t="shared" si="101"/>
        <v>0.11590909090909091</v>
      </c>
      <c r="G76" s="385">
        <f t="shared" si="101"/>
        <v>0.11590909090909091</v>
      </c>
      <c r="H76" s="294">
        <f t="shared" si="101"/>
        <v>0.11590909090909091</v>
      </c>
      <c r="I76" s="294">
        <f t="shared" si="101"/>
        <v>0.11590909090909091</v>
      </c>
      <c r="J76" s="294">
        <f t="shared" ref="J76:K76" si="102">(J64*J$55)+J$38</f>
        <v>0.11590909090909091</v>
      </c>
      <c r="K76" s="294">
        <f t="shared" si="102"/>
        <v>0.11590909090909091</v>
      </c>
    </row>
    <row r="77" spans="1:11" ht="14.25" hidden="1" outlineLevel="1">
      <c r="A77">
        <v>9</v>
      </c>
      <c r="B77" s="294">
        <f t="shared" ref="B77:I77" si="103">(B65*B$55)+B$38</f>
        <v>0.11136363636363636</v>
      </c>
      <c r="C77" s="294">
        <f t="shared" si="103"/>
        <v>0.11136363636363636</v>
      </c>
      <c r="D77" s="294">
        <f t="shared" si="103"/>
        <v>0.11136363636363636</v>
      </c>
      <c r="E77" s="294">
        <f t="shared" si="103"/>
        <v>0.11136363636363636</v>
      </c>
      <c r="F77" s="385">
        <f t="shared" si="103"/>
        <v>0.11136363636363636</v>
      </c>
      <c r="G77" s="385">
        <f t="shared" si="103"/>
        <v>0.11136363636363636</v>
      </c>
      <c r="H77" s="294">
        <f t="shared" si="103"/>
        <v>0.11136363636363636</v>
      </c>
      <c r="I77" s="294">
        <f t="shared" si="103"/>
        <v>0.11136363636363636</v>
      </c>
      <c r="J77" s="294">
        <f t="shared" ref="J77:K77" si="104">(J65*J$55)+J$38</f>
        <v>0.11136363636363636</v>
      </c>
      <c r="K77" s="294">
        <f t="shared" si="104"/>
        <v>0.11136363636363636</v>
      </c>
    </row>
    <row r="78" spans="1:11" ht="14.25" hidden="1" outlineLevel="1">
      <c r="A78">
        <v>10</v>
      </c>
      <c r="B78" s="294">
        <f t="shared" ref="B78:I78" si="105">(B66*B$55)+B$38</f>
        <v>0.10681818181818181</v>
      </c>
      <c r="C78" s="294">
        <f t="shared" si="105"/>
        <v>0.10681818181818181</v>
      </c>
      <c r="D78" s="294">
        <f t="shared" si="105"/>
        <v>0.10681818181818181</v>
      </c>
      <c r="E78" s="294">
        <f t="shared" si="105"/>
        <v>0.10681818181818181</v>
      </c>
      <c r="F78" s="385">
        <f t="shared" si="105"/>
        <v>0.10681818181818181</v>
      </c>
      <c r="G78" s="385">
        <f t="shared" si="105"/>
        <v>0.10681818181818181</v>
      </c>
      <c r="H78" s="294">
        <f t="shared" si="105"/>
        <v>0.10681818181818181</v>
      </c>
      <c r="I78" s="294">
        <f t="shared" si="105"/>
        <v>0.10681818181818181</v>
      </c>
      <c r="J78" s="294">
        <f t="shared" ref="J78:K78" si="106">(J66*J$55)+J$38</f>
        <v>0.10681818181818181</v>
      </c>
      <c r="K78" s="294">
        <f t="shared" si="106"/>
        <v>0.10681818181818181</v>
      </c>
    </row>
    <row r="79" spans="1:11" ht="14.25" hidden="1" outlineLevel="1">
      <c r="A79">
        <v>11</v>
      </c>
      <c r="B79" s="294">
        <f t="shared" ref="B79:I79" si="107">(B67*B$55)+B$38</f>
        <v>0.10227272727272727</v>
      </c>
      <c r="C79" s="294">
        <f t="shared" si="107"/>
        <v>0.10227272727272727</v>
      </c>
      <c r="D79" s="294">
        <f t="shared" si="107"/>
        <v>0.10227272727272727</v>
      </c>
      <c r="E79" s="294">
        <f t="shared" si="107"/>
        <v>0.10227272727272727</v>
      </c>
      <c r="F79" s="385">
        <f t="shared" si="107"/>
        <v>0.10227272727272727</v>
      </c>
      <c r="G79" s="385">
        <f t="shared" si="107"/>
        <v>0.10227272727272727</v>
      </c>
      <c r="H79" s="294">
        <f t="shared" si="107"/>
        <v>0.10227272727272727</v>
      </c>
      <c r="I79" s="294">
        <f t="shared" si="107"/>
        <v>0.10227272727272727</v>
      </c>
      <c r="J79" s="294">
        <f t="shared" ref="J79:K79" si="108">(J67*J$55)+J$38</f>
        <v>0.10227272727272727</v>
      </c>
      <c r="K79" s="294">
        <f t="shared" si="108"/>
        <v>0.10227272727272727</v>
      </c>
    </row>
    <row r="80" spans="1:11" ht="14.25" collapsed="1">
      <c r="A80" t="s">
        <v>382</v>
      </c>
      <c r="B80" s="294"/>
      <c r="C80" s="294"/>
      <c r="D80" s="294"/>
      <c r="E80" s="294"/>
      <c r="F80" s="385"/>
      <c r="G80" s="385"/>
      <c r="H80" s="294"/>
      <c r="I80" s="294"/>
      <c r="J80" s="294"/>
      <c r="K80" s="294"/>
    </row>
    <row r="81" spans="1:11" ht="14.25" hidden="1" outlineLevel="1">
      <c r="A81">
        <v>1</v>
      </c>
      <c r="B81" s="296">
        <f t="shared" ref="B81:I81" si="109">(B69+B70)*B$54/2</f>
        <v>1.9834710743801649E-3</v>
      </c>
      <c r="C81" s="296">
        <f t="shared" si="109"/>
        <v>1.9834710743801649E-3</v>
      </c>
      <c r="D81" s="296">
        <f t="shared" si="109"/>
        <v>1.9834710743801649E-3</v>
      </c>
      <c r="E81" s="296">
        <f t="shared" si="109"/>
        <v>1.9834710743801649E-3</v>
      </c>
      <c r="F81" s="386">
        <f t="shared" si="109"/>
        <v>1.9834710743801649E-3</v>
      </c>
      <c r="G81" s="386">
        <f t="shared" si="109"/>
        <v>1.9834710743801649E-3</v>
      </c>
      <c r="H81" s="296">
        <f t="shared" si="109"/>
        <v>1.9834710743801649E-3</v>
      </c>
      <c r="I81" s="296">
        <f t="shared" si="109"/>
        <v>1.9834710743801649E-3</v>
      </c>
      <c r="J81" s="296">
        <f t="shared" ref="J81:K81" si="110">(J69+J70)*J$54/2</f>
        <v>1.9834710743801649E-3</v>
      </c>
      <c r="K81" s="296">
        <f t="shared" si="110"/>
        <v>1.9834710743801649E-3</v>
      </c>
    </row>
    <row r="82" spans="1:11" ht="14.25" hidden="1" outlineLevel="1">
      <c r="A82">
        <v>2</v>
      </c>
      <c r="B82" s="296">
        <f t="shared" ref="B82:I89" si="111">(B70+B71)*B$54/2</f>
        <v>1.9214876033057853E-3</v>
      </c>
      <c r="C82" s="296">
        <f t="shared" si="111"/>
        <v>1.9214876033057853E-3</v>
      </c>
      <c r="D82" s="296">
        <f t="shared" si="111"/>
        <v>1.9214876033057853E-3</v>
      </c>
      <c r="E82" s="296">
        <f t="shared" si="111"/>
        <v>1.9214876033057853E-3</v>
      </c>
      <c r="F82" s="386">
        <f t="shared" si="111"/>
        <v>1.9214876033057853E-3</v>
      </c>
      <c r="G82" s="386">
        <f t="shared" si="111"/>
        <v>1.9214876033057853E-3</v>
      </c>
      <c r="H82" s="296">
        <f t="shared" si="111"/>
        <v>1.9214876033057853E-3</v>
      </c>
      <c r="I82" s="296">
        <f t="shared" si="111"/>
        <v>1.9214876033057853E-3</v>
      </c>
      <c r="J82" s="296">
        <f t="shared" ref="J82:K82" si="112">(J70+J71)*J$54/2</f>
        <v>1.9214876033057853E-3</v>
      </c>
      <c r="K82" s="296">
        <f t="shared" si="112"/>
        <v>1.9214876033057853E-3</v>
      </c>
    </row>
    <row r="83" spans="1:11" ht="14.25" hidden="1" outlineLevel="1">
      <c r="A83">
        <v>3</v>
      </c>
      <c r="B83" s="296">
        <f t="shared" si="111"/>
        <v>1.8595041322314048E-3</v>
      </c>
      <c r="C83" s="296">
        <f t="shared" si="111"/>
        <v>1.8595041322314048E-3</v>
      </c>
      <c r="D83" s="296">
        <f t="shared" si="111"/>
        <v>1.8595041322314048E-3</v>
      </c>
      <c r="E83" s="296">
        <f t="shared" si="111"/>
        <v>1.8595041322314048E-3</v>
      </c>
      <c r="F83" s="386">
        <f t="shared" si="111"/>
        <v>1.8595041322314048E-3</v>
      </c>
      <c r="G83" s="386">
        <f t="shared" si="111"/>
        <v>1.8595041322314048E-3</v>
      </c>
      <c r="H83" s="296">
        <f t="shared" si="111"/>
        <v>1.8595041322314048E-3</v>
      </c>
      <c r="I83" s="296">
        <f t="shared" si="111"/>
        <v>1.8595041322314048E-3</v>
      </c>
      <c r="J83" s="296">
        <f t="shared" ref="J83:K83" si="113">(J71+J72)*J$54/2</f>
        <v>1.8595041322314048E-3</v>
      </c>
      <c r="K83" s="296">
        <f t="shared" si="113"/>
        <v>1.8595041322314048E-3</v>
      </c>
    </row>
    <row r="84" spans="1:11" ht="14.25" hidden="1" outlineLevel="1">
      <c r="A84">
        <v>4</v>
      </c>
      <c r="B84" s="296">
        <f t="shared" si="111"/>
        <v>1.7975206611570249E-3</v>
      </c>
      <c r="C84" s="296">
        <f t="shared" si="111"/>
        <v>1.7975206611570249E-3</v>
      </c>
      <c r="D84" s="296">
        <f t="shared" si="111"/>
        <v>1.7975206611570249E-3</v>
      </c>
      <c r="E84" s="296">
        <f t="shared" si="111"/>
        <v>1.7975206611570249E-3</v>
      </c>
      <c r="F84" s="386">
        <f t="shared" si="111"/>
        <v>1.7975206611570249E-3</v>
      </c>
      <c r="G84" s="386">
        <f t="shared" si="111"/>
        <v>1.7975206611570249E-3</v>
      </c>
      <c r="H84" s="296">
        <f t="shared" si="111"/>
        <v>1.7975206611570249E-3</v>
      </c>
      <c r="I84" s="296">
        <f t="shared" si="111"/>
        <v>1.7975206611570249E-3</v>
      </c>
      <c r="J84" s="296">
        <f t="shared" ref="J84:K84" si="114">(J72+J73)*J$54/2</f>
        <v>1.7975206611570249E-3</v>
      </c>
      <c r="K84" s="296">
        <f t="shared" si="114"/>
        <v>1.7975206611570249E-3</v>
      </c>
    </row>
    <row r="85" spans="1:11" ht="14.25" hidden="1" outlineLevel="1">
      <c r="A85">
        <v>5</v>
      </c>
      <c r="B85" s="296">
        <f t="shared" si="111"/>
        <v>1.7355371900826444E-3</v>
      </c>
      <c r="C85" s="296">
        <f t="shared" si="111"/>
        <v>1.7355371900826444E-3</v>
      </c>
      <c r="D85" s="296">
        <f t="shared" si="111"/>
        <v>1.7355371900826444E-3</v>
      </c>
      <c r="E85" s="296">
        <f t="shared" si="111"/>
        <v>1.7355371900826444E-3</v>
      </c>
      <c r="F85" s="386">
        <f t="shared" si="111"/>
        <v>1.7355371900826444E-3</v>
      </c>
      <c r="G85" s="386">
        <f t="shared" si="111"/>
        <v>1.7355371900826444E-3</v>
      </c>
      <c r="H85" s="296">
        <f t="shared" si="111"/>
        <v>1.7355371900826444E-3</v>
      </c>
      <c r="I85" s="296">
        <f t="shared" si="111"/>
        <v>1.7355371900826444E-3</v>
      </c>
      <c r="J85" s="296">
        <f t="shared" ref="J85:K85" si="115">(J73+J74)*J$54/2</f>
        <v>1.7355371900826444E-3</v>
      </c>
      <c r="K85" s="296">
        <f t="shared" si="115"/>
        <v>1.7355371900826444E-3</v>
      </c>
    </row>
    <row r="86" spans="1:11" ht="14.25" hidden="1" outlineLevel="1">
      <c r="A86">
        <v>6</v>
      </c>
      <c r="B86" s="296">
        <f t="shared" si="111"/>
        <v>1.6735537190082643E-3</v>
      </c>
      <c r="C86" s="296">
        <f t="shared" si="111"/>
        <v>1.6735537190082643E-3</v>
      </c>
      <c r="D86" s="296">
        <f t="shared" si="111"/>
        <v>1.6735537190082643E-3</v>
      </c>
      <c r="E86" s="296">
        <f t="shared" si="111"/>
        <v>1.6735537190082643E-3</v>
      </c>
      <c r="F86" s="386">
        <f t="shared" si="111"/>
        <v>1.6735537190082643E-3</v>
      </c>
      <c r="G86" s="386">
        <f t="shared" si="111"/>
        <v>1.6735537190082643E-3</v>
      </c>
      <c r="H86" s="296">
        <f t="shared" si="111"/>
        <v>1.6735537190082643E-3</v>
      </c>
      <c r="I86" s="296">
        <f t="shared" si="111"/>
        <v>1.6735537190082643E-3</v>
      </c>
      <c r="J86" s="296">
        <f t="shared" ref="J86:K86" si="116">(J74+J75)*J$54/2</f>
        <v>1.6735537190082643E-3</v>
      </c>
      <c r="K86" s="296">
        <f t="shared" si="116"/>
        <v>1.6735537190082643E-3</v>
      </c>
    </row>
    <row r="87" spans="1:11" ht="14.25" hidden="1" outlineLevel="1">
      <c r="A87">
        <v>7</v>
      </c>
      <c r="B87" s="296">
        <f t="shared" si="111"/>
        <v>1.6115702479338842E-3</v>
      </c>
      <c r="C87" s="296">
        <f t="shared" si="111"/>
        <v>1.6115702479338842E-3</v>
      </c>
      <c r="D87" s="296">
        <f t="shared" si="111"/>
        <v>1.6115702479338842E-3</v>
      </c>
      <c r="E87" s="296">
        <f t="shared" si="111"/>
        <v>1.6115702479338842E-3</v>
      </c>
      <c r="F87" s="386">
        <f t="shared" si="111"/>
        <v>1.6115702479338842E-3</v>
      </c>
      <c r="G87" s="386">
        <f t="shared" si="111"/>
        <v>1.6115702479338842E-3</v>
      </c>
      <c r="H87" s="296">
        <f t="shared" si="111"/>
        <v>1.6115702479338842E-3</v>
      </c>
      <c r="I87" s="296">
        <f t="shared" si="111"/>
        <v>1.6115702479338842E-3</v>
      </c>
      <c r="J87" s="296">
        <f t="shared" ref="J87:K87" si="117">(J75+J76)*J$54/2</f>
        <v>1.6115702479338842E-3</v>
      </c>
      <c r="K87" s="296">
        <f t="shared" si="117"/>
        <v>1.6115702479338842E-3</v>
      </c>
    </row>
    <row r="88" spans="1:11" ht="14.25" hidden="1" outlineLevel="1">
      <c r="A88">
        <v>8</v>
      </c>
      <c r="B88" s="296">
        <f t="shared" si="111"/>
        <v>1.549586776859504E-3</v>
      </c>
      <c r="C88" s="296">
        <f t="shared" si="111"/>
        <v>1.549586776859504E-3</v>
      </c>
      <c r="D88" s="296">
        <f t="shared" si="111"/>
        <v>1.549586776859504E-3</v>
      </c>
      <c r="E88" s="296">
        <f t="shared" si="111"/>
        <v>1.549586776859504E-3</v>
      </c>
      <c r="F88" s="386">
        <f t="shared" si="111"/>
        <v>1.549586776859504E-3</v>
      </c>
      <c r="G88" s="386">
        <f t="shared" si="111"/>
        <v>1.549586776859504E-3</v>
      </c>
      <c r="H88" s="296">
        <f t="shared" si="111"/>
        <v>1.549586776859504E-3</v>
      </c>
      <c r="I88" s="296">
        <f t="shared" si="111"/>
        <v>1.549586776859504E-3</v>
      </c>
      <c r="J88" s="296">
        <f t="shared" ref="J88:K88" si="118">(J76+J77)*J$54/2</f>
        <v>1.549586776859504E-3</v>
      </c>
      <c r="K88" s="296">
        <f t="shared" si="118"/>
        <v>1.549586776859504E-3</v>
      </c>
    </row>
    <row r="89" spans="1:11" ht="14.25" hidden="1" outlineLevel="1">
      <c r="A89">
        <v>9</v>
      </c>
      <c r="B89" s="296">
        <f t="shared" si="111"/>
        <v>1.4876033057851239E-3</v>
      </c>
      <c r="C89" s="296">
        <f t="shared" si="111"/>
        <v>1.4876033057851239E-3</v>
      </c>
      <c r="D89" s="296">
        <f t="shared" si="111"/>
        <v>1.4876033057851239E-3</v>
      </c>
      <c r="E89" s="296">
        <f t="shared" si="111"/>
        <v>1.4876033057851239E-3</v>
      </c>
      <c r="F89" s="386">
        <f t="shared" si="111"/>
        <v>1.4876033057851239E-3</v>
      </c>
      <c r="G89" s="386">
        <f t="shared" si="111"/>
        <v>1.4876033057851239E-3</v>
      </c>
      <c r="H89" s="296">
        <f t="shared" si="111"/>
        <v>1.4876033057851239E-3</v>
      </c>
      <c r="I89" s="296">
        <f t="shared" si="111"/>
        <v>1.4876033057851239E-3</v>
      </c>
      <c r="J89" s="296">
        <f t="shared" ref="J89:K89" si="119">(J77+J78)*J$54/2</f>
        <v>1.4876033057851239E-3</v>
      </c>
      <c r="K89" s="296">
        <f t="shared" si="119"/>
        <v>1.4876033057851239E-3</v>
      </c>
    </row>
    <row r="90" spans="1:11" ht="14.25" hidden="1" outlineLevel="1">
      <c r="A90">
        <v>10</v>
      </c>
      <c r="B90" s="296">
        <f>(B78+B79)*B$54/2</f>
        <v>1.4256198347107436E-3</v>
      </c>
      <c r="C90" s="296">
        <f t="shared" ref="C90:I90" si="120">(C78+C79)*C$54/2</f>
        <v>1.4256198347107436E-3</v>
      </c>
      <c r="D90" s="296">
        <f t="shared" si="120"/>
        <v>1.4256198347107436E-3</v>
      </c>
      <c r="E90" s="296">
        <f t="shared" si="120"/>
        <v>1.4256198347107436E-3</v>
      </c>
      <c r="F90" s="386">
        <f t="shared" si="120"/>
        <v>1.4256198347107436E-3</v>
      </c>
      <c r="G90" s="386">
        <f t="shared" si="120"/>
        <v>1.4256198347107436E-3</v>
      </c>
      <c r="H90" s="296">
        <f t="shared" si="120"/>
        <v>1.4256198347107436E-3</v>
      </c>
      <c r="I90" s="296">
        <f t="shared" si="120"/>
        <v>1.4256198347107436E-3</v>
      </c>
      <c r="J90" s="296">
        <f t="shared" ref="J90:K90" si="121">(J78+J79)*J$54/2</f>
        <v>1.4256198347107436E-3</v>
      </c>
      <c r="K90" s="296">
        <f t="shared" si="121"/>
        <v>1.4256198347107436E-3</v>
      </c>
    </row>
    <row r="91" spans="1:11" ht="14.25" collapsed="1">
      <c r="A91" t="s">
        <v>579</v>
      </c>
      <c r="B91" s="294">
        <f>SUM(B81:B90)</f>
        <v>1.7045454545454544E-2</v>
      </c>
      <c r="C91" s="294">
        <f t="shared" ref="C91:I91" si="122">SUM(C81:C90)</f>
        <v>1.7045454545454544E-2</v>
      </c>
      <c r="D91" s="294">
        <f t="shared" si="122"/>
        <v>1.7045454545454544E-2</v>
      </c>
      <c r="E91" s="294">
        <f t="shared" si="122"/>
        <v>1.7045454545454544E-2</v>
      </c>
      <c r="F91" s="385">
        <f t="shared" si="122"/>
        <v>1.7045454545454544E-2</v>
      </c>
      <c r="G91" s="385">
        <f t="shared" si="122"/>
        <v>1.7045454545454544E-2</v>
      </c>
      <c r="H91" s="294">
        <f t="shared" si="122"/>
        <v>1.7045454545454544E-2</v>
      </c>
      <c r="I91" s="294">
        <f t="shared" si="122"/>
        <v>1.7045454545454544E-2</v>
      </c>
      <c r="J91" s="294">
        <f t="shared" ref="J91" si="123">SUM(J81:J90)</f>
        <v>1.7045454545454544E-2</v>
      </c>
      <c r="K91" s="294">
        <f t="shared" ref="K91" si="124">SUM(K81:K90)</f>
        <v>1.7045454545454544E-2</v>
      </c>
    </row>
    <row r="92" spans="1:11">
      <c r="A92" s="299" t="s">
        <v>383</v>
      </c>
    </row>
    <row r="93" spans="1:11" s="198" customFormat="1" ht="14.25">
      <c r="A93" s="198" t="s">
        <v>384</v>
      </c>
      <c r="B93" s="295">
        <f>IF(B7&gt;=1,0,(B94/(B95+B96))/SQRT(1-B7^2))</f>
        <v>1.7811871342984904</v>
      </c>
      <c r="C93" s="295">
        <f t="shared" ref="C93:I93" si="125">IF(C7&gt;=1,0,(C94/(C95+C96))/SQRT(1-C7^2))</f>
        <v>1.7869352319645568</v>
      </c>
      <c r="D93" s="295">
        <f t="shared" si="125"/>
        <v>1.8638274893064417</v>
      </c>
      <c r="E93" s="295">
        <f t="shared" si="125"/>
        <v>2.0530322770652725</v>
      </c>
      <c r="F93" s="387">
        <f t="shared" si="125"/>
        <v>2.4896673326889589</v>
      </c>
      <c r="G93" s="387">
        <f t="shared" si="125"/>
        <v>0</v>
      </c>
      <c r="H93" s="295">
        <f t="shared" si="125"/>
        <v>0</v>
      </c>
      <c r="I93" s="295">
        <f t="shared" si="125"/>
        <v>0</v>
      </c>
      <c r="J93" s="295">
        <f t="shared" ref="J93" si="126">IF(J7&gt;=1,0,(J94/(J95+J96))/SQRT(1-J7^2))</f>
        <v>0</v>
      </c>
      <c r="K93" s="295">
        <f t="shared" ref="K93" si="127">IF(K7&gt;=1,0,(K94/(K95+K96))/SQRT(1-K7^2))</f>
        <v>0</v>
      </c>
    </row>
    <row r="94" spans="1:11" ht="14.25" hidden="1" outlineLevel="1">
      <c r="A94" t="s">
        <v>385</v>
      </c>
      <c r="B94" s="222">
        <f>PI()*COS(RADIANS(B43))</f>
        <v>2.2214414690791831</v>
      </c>
      <c r="C94" s="222">
        <f t="shared" ref="C94:I94" si="128">PI()*COS(RADIANS(C43))</f>
        <v>2.2214414690791831</v>
      </c>
      <c r="D94" s="222">
        <f t="shared" si="128"/>
        <v>2.2214414690791831</v>
      </c>
      <c r="E94" s="222">
        <f t="shared" si="128"/>
        <v>2.2214414690791831</v>
      </c>
      <c r="F94" s="382">
        <f t="shared" si="128"/>
        <v>2.2214414690791831</v>
      </c>
      <c r="G94" s="382">
        <f t="shared" si="128"/>
        <v>2.2214414690791831</v>
      </c>
      <c r="H94" s="222">
        <f t="shared" si="128"/>
        <v>2.2214414690791831</v>
      </c>
      <c r="I94" s="222">
        <f t="shared" si="128"/>
        <v>2.2214414690791831</v>
      </c>
      <c r="J94" s="222">
        <f t="shared" ref="J94:K94" si="129">PI()*COS(RADIANS(J43))</f>
        <v>2.2214414690791831</v>
      </c>
      <c r="K94" s="222">
        <f t="shared" si="129"/>
        <v>2.2214414690791831</v>
      </c>
    </row>
    <row r="95" spans="1:11" ht="14.25" hidden="1" outlineLevel="1">
      <c r="A95" t="s">
        <v>386</v>
      </c>
      <c r="B95" s="222">
        <f>SQRT(1+((B94/(PI()*B51))^2))</f>
        <v>1.0248956925229649</v>
      </c>
      <c r="C95" s="222">
        <f t="shared" ref="C95:I95" si="130">SQRT(1+((C94/(PI()*C51))^2))</f>
        <v>1.0248956925229649</v>
      </c>
      <c r="D95" s="222">
        <f t="shared" si="130"/>
        <v>1.0248956925229649</v>
      </c>
      <c r="E95" s="222">
        <f t="shared" si="130"/>
        <v>1.0248956925229649</v>
      </c>
      <c r="F95" s="382">
        <f t="shared" si="130"/>
        <v>1.0248956925229649</v>
      </c>
      <c r="G95" s="382">
        <f t="shared" si="130"/>
        <v>1.0248956925229649</v>
      </c>
      <c r="H95" s="222">
        <f t="shared" si="130"/>
        <v>1.0248956925229649</v>
      </c>
      <c r="I95" s="222">
        <f t="shared" si="130"/>
        <v>1.0248956925229649</v>
      </c>
      <c r="J95" s="222">
        <f t="shared" ref="J95" si="131">SQRT(1+((J94/(PI()*J51))^2))</f>
        <v>1.0248956925229649</v>
      </c>
      <c r="K95" s="222">
        <f t="shared" ref="K95" si="132">SQRT(1+((K94/(PI()*K51))^2))</f>
        <v>1.0248956925229649</v>
      </c>
    </row>
    <row r="96" spans="1:11" ht="14.25" hidden="1" outlineLevel="1">
      <c r="A96" t="s">
        <v>387</v>
      </c>
      <c r="B96" s="222">
        <f>B94/(PI()*B51)</f>
        <v>0.22452434289432335</v>
      </c>
      <c r="C96" s="222">
        <f t="shared" ref="C96:I96" si="133">C94/(PI()*C51)</f>
        <v>0.22452434289432335</v>
      </c>
      <c r="D96" s="222">
        <f t="shared" si="133"/>
        <v>0.22452434289432335</v>
      </c>
      <c r="E96" s="222">
        <f t="shared" si="133"/>
        <v>0.22452434289432335</v>
      </c>
      <c r="F96" s="382">
        <f t="shared" si="133"/>
        <v>0.22452434289432335</v>
      </c>
      <c r="G96" s="382">
        <f t="shared" si="133"/>
        <v>0.22452434289432335</v>
      </c>
      <c r="H96" s="222">
        <f t="shared" si="133"/>
        <v>0.22452434289432335</v>
      </c>
      <c r="I96" s="222">
        <f t="shared" si="133"/>
        <v>0.22452434289432335</v>
      </c>
      <c r="J96" s="222">
        <f t="shared" ref="J96:K96" si="134">J94/(PI()*J51)</f>
        <v>0.22452434289432335</v>
      </c>
      <c r="K96" s="222">
        <f t="shared" si="134"/>
        <v>0.22452434289432335</v>
      </c>
    </row>
    <row r="97" spans="1:11" ht="14.25" collapsed="1">
      <c r="A97" t="s">
        <v>388</v>
      </c>
      <c r="B97" s="217">
        <f>(B16*B3*B38)/B19</f>
        <v>204747.5401819862</v>
      </c>
      <c r="C97" s="217">
        <f t="shared" ref="C97:I97" si="135">(C16*C3*C38)/C19</f>
        <v>339947.35662770225</v>
      </c>
      <c r="D97" s="217">
        <f t="shared" si="135"/>
        <v>988854.68465469638</v>
      </c>
      <c r="E97" s="217">
        <f t="shared" si="135"/>
        <v>1706229.5015165519</v>
      </c>
      <c r="F97" s="384">
        <f t="shared" si="135"/>
        <v>2388721.3021231727</v>
      </c>
      <c r="G97" s="384">
        <f t="shared" si="135"/>
        <v>2955276.1859995876</v>
      </c>
      <c r="H97" s="217">
        <f t="shared" si="135"/>
        <v>4192984.1525804126</v>
      </c>
      <c r="I97" s="217">
        <f t="shared" si="135"/>
        <v>5228190.5132896751</v>
      </c>
      <c r="J97" s="217">
        <f t="shared" ref="J97:K97" si="136">(J16*J3*J38)/J19</f>
        <v>7842285.7699345108</v>
      </c>
      <c r="K97" s="217">
        <f t="shared" si="136"/>
        <v>13070476.283224184</v>
      </c>
    </row>
    <row r="98" spans="1:11" ht="14.25">
      <c r="A98" t="s">
        <v>389</v>
      </c>
      <c r="B98" s="217">
        <f>(B16*B3*B39)/B19</f>
        <v>13649836.012132416</v>
      </c>
      <c r="C98" s="217">
        <f t="shared" ref="C98:I98" si="137">(C16*C3*C39)/C19</f>
        <v>22663157.108513482</v>
      </c>
      <c r="D98" s="217">
        <f t="shared" si="137"/>
        <v>65923645.643646419</v>
      </c>
      <c r="E98" s="217">
        <f t="shared" si="137"/>
        <v>113748633.4344368</v>
      </c>
      <c r="F98" s="384">
        <f t="shared" si="137"/>
        <v>159248086.80821151</v>
      </c>
      <c r="G98" s="384">
        <f t="shared" si="137"/>
        <v>197018412.3999725</v>
      </c>
      <c r="H98" s="217">
        <f t="shared" si="137"/>
        <v>279532276.83869416</v>
      </c>
      <c r="I98" s="217">
        <f t="shared" si="137"/>
        <v>348546034.21931165</v>
      </c>
      <c r="J98" s="217">
        <f t="shared" ref="J98:K98" si="138">(J16*J3*J39)/J19</f>
        <v>522819051.32896739</v>
      </c>
      <c r="K98" s="217">
        <f t="shared" si="138"/>
        <v>871365085.54827893</v>
      </c>
    </row>
    <row r="99" spans="1:11" s="376" customFormat="1">
      <c r="A99" s="377" t="s">
        <v>574</v>
      </c>
      <c r="B99" s="380">
        <v>1.0835747058992552E-3</v>
      </c>
      <c r="C99" s="380">
        <v>1.1727681502455444E-2</v>
      </c>
      <c r="D99" s="380">
        <v>1.1727681502455444E-2</v>
      </c>
      <c r="E99" s="380">
        <v>1.1727681502455444E-2</v>
      </c>
      <c r="F99" s="388">
        <v>1.5430452013868042E-3</v>
      </c>
      <c r="G99" s="388">
        <v>1.1727681502455444E-2</v>
      </c>
      <c r="H99" s="380">
        <v>1.1727681502455444E-2</v>
      </c>
      <c r="I99" s="380">
        <v>1.296956659818473E-3</v>
      </c>
      <c r="J99" s="380">
        <v>1.296956659818473E-3</v>
      </c>
      <c r="K99" s="380">
        <v>1.296956659818473E-3</v>
      </c>
    </row>
    <row r="100" spans="1:11">
      <c r="A100" s="377" t="s">
        <v>575</v>
      </c>
      <c r="B100" s="217">
        <f>B99/1000</f>
        <v>1.0835747058992552E-6</v>
      </c>
      <c r="C100" s="217">
        <f t="shared" ref="C100:I100" si="139">C99/1000</f>
        <v>1.1727681502455444E-5</v>
      </c>
      <c r="D100" s="217">
        <f t="shared" si="139"/>
        <v>1.1727681502455444E-5</v>
      </c>
      <c r="E100" s="217">
        <f t="shared" si="139"/>
        <v>1.1727681502455444E-5</v>
      </c>
      <c r="F100" s="384">
        <f t="shared" si="139"/>
        <v>1.5430452013868042E-6</v>
      </c>
      <c r="G100" s="384">
        <f t="shared" si="139"/>
        <v>1.1727681502455444E-5</v>
      </c>
      <c r="H100" s="217">
        <f t="shared" si="139"/>
        <v>1.1727681502455444E-5</v>
      </c>
      <c r="I100" s="217">
        <f t="shared" si="139"/>
        <v>1.2969566598184729E-6</v>
      </c>
      <c r="J100" s="217">
        <f t="shared" ref="J100" si="140">J99/1000</f>
        <v>1.2969566598184729E-6</v>
      </c>
      <c r="K100" s="217">
        <f t="shared" ref="K100" si="141">K99/1000</f>
        <v>1.2969566598184729E-6</v>
      </c>
    </row>
    <row r="101" spans="1:11" ht="14.25">
      <c r="A101" t="s">
        <v>576</v>
      </c>
      <c r="B101" s="222">
        <f>(B100*B3)/B19</f>
        <v>1.2049223111068661</v>
      </c>
      <c r="C101" s="222">
        <f t="shared" ref="C101:I101" si="142">(C100*C3)/C19</f>
        <v>21.652364331488808</v>
      </c>
      <c r="D101" s="222">
        <f t="shared" si="142"/>
        <v>62.983404593704634</v>
      </c>
      <c r="E101" s="222">
        <f t="shared" si="142"/>
        <v>108.67536422832235</v>
      </c>
      <c r="F101" s="382">
        <f t="shared" si="142"/>
        <v>20.018227724287417</v>
      </c>
      <c r="G101" s="382">
        <f t="shared" si="142"/>
        <v>188.23125237450762</v>
      </c>
      <c r="H101" s="222">
        <f t="shared" si="142"/>
        <v>267.06494031444305</v>
      </c>
      <c r="I101" s="222">
        <f t="shared" si="142"/>
        <v>36.826323414779466</v>
      </c>
      <c r="J101" s="222">
        <f t="shared" ref="J101" si="143">(J100*J3)/J19</f>
        <v>55.239485122169192</v>
      </c>
      <c r="K101" s="222">
        <f t="shared" ref="K101" si="144">(K100*K3)/K19</f>
        <v>92.065808536948666</v>
      </c>
    </row>
    <row r="102" spans="1:11" s="218" customFormat="1">
      <c r="A102" s="307" t="s">
        <v>583</v>
      </c>
      <c r="B102" s="381">
        <f>B114</f>
        <v>6.0191258072510356E-2</v>
      </c>
      <c r="C102" s="381">
        <f t="shared" ref="C102:I102" si="145">C114</f>
        <v>1.0816324316871839</v>
      </c>
      <c r="D102" s="381">
        <f t="shared" si="145"/>
        <v>3.1463027327483664</v>
      </c>
      <c r="E102" s="381">
        <f t="shared" si="145"/>
        <v>5.4288204592892244</v>
      </c>
      <c r="F102" s="389">
        <f t="shared" si="145"/>
        <v>0.99999999999999956</v>
      </c>
      <c r="G102" s="389">
        <f t="shared" si="145"/>
        <v>9.4029928606583457</v>
      </c>
      <c r="H102" s="381">
        <f t="shared" si="145"/>
        <v>13.341088131914013</v>
      </c>
      <c r="I102" s="381">
        <f t="shared" si="145"/>
        <v>1.8396395486149535</v>
      </c>
      <c r="J102" s="381">
        <f t="shared" ref="J102:K102" si="146">J114</f>
        <v>2.7594593229224298</v>
      </c>
      <c r="K102" s="381">
        <f t="shared" si="146"/>
        <v>4.5990988715373833</v>
      </c>
    </row>
    <row r="103" spans="1:11" ht="14.25">
      <c r="A103" s="306" t="s">
        <v>577</v>
      </c>
      <c r="B103" s="222">
        <f>B38/$A108</f>
        <v>0.03</v>
      </c>
      <c r="C103" s="222">
        <f t="shared" ref="C103:I103" si="147">C38/$A108</f>
        <v>0.03</v>
      </c>
      <c r="D103" s="222">
        <f t="shared" si="147"/>
        <v>0.03</v>
      </c>
      <c r="E103" s="222">
        <f t="shared" si="147"/>
        <v>0.03</v>
      </c>
      <c r="F103" s="382">
        <f t="shared" si="147"/>
        <v>0.03</v>
      </c>
      <c r="G103" s="382">
        <f t="shared" si="147"/>
        <v>0.03</v>
      </c>
      <c r="H103" s="222">
        <f t="shared" si="147"/>
        <v>0.03</v>
      </c>
      <c r="I103" s="222">
        <f t="shared" si="147"/>
        <v>0.03</v>
      </c>
      <c r="J103" s="222">
        <f t="shared" ref="J103:K103" si="148">J38/$A108</f>
        <v>0.03</v>
      </c>
      <c r="K103" s="222">
        <f t="shared" si="148"/>
        <v>0.03</v>
      </c>
    </row>
    <row r="104" spans="1:11" ht="14.25" hidden="1" outlineLevel="1">
      <c r="A104">
        <v>1</v>
      </c>
      <c r="B104" s="217">
        <f>(B$16*B$3*($A104*B$103))/B$19</f>
        <v>40949.508036397245</v>
      </c>
      <c r="C104" s="217">
        <f t="shared" ref="C104:K104" si="149">(C$16*C$3*($A104*C$103))/C$19</f>
        <v>67989.471325540449</v>
      </c>
      <c r="D104" s="217">
        <f t="shared" si="149"/>
        <v>197770.93693093926</v>
      </c>
      <c r="E104" s="217">
        <f t="shared" si="149"/>
        <v>341245.90030331037</v>
      </c>
      <c r="F104" s="384">
        <f t="shared" si="149"/>
        <v>477744.26042463456</v>
      </c>
      <c r="G104" s="384">
        <f t="shared" si="149"/>
        <v>591055.23719991744</v>
      </c>
      <c r="H104" s="217">
        <f t="shared" si="149"/>
        <v>838596.83051608247</v>
      </c>
      <c r="I104" s="217">
        <f t="shared" si="149"/>
        <v>1045638.1026579349</v>
      </c>
      <c r="J104" s="217">
        <f t="shared" si="149"/>
        <v>1568457.153986902</v>
      </c>
      <c r="K104" s="217">
        <f t="shared" si="149"/>
        <v>2614095.2566448371</v>
      </c>
    </row>
    <row r="105" spans="1:11" ht="14.25" hidden="1" outlineLevel="1">
      <c r="A105">
        <v>2</v>
      </c>
      <c r="B105" s="217">
        <f t="shared" ref="B105:K108" si="150">(B$16*B$3*($A105*B$103))/B$19</f>
        <v>81899.016072794489</v>
      </c>
      <c r="C105" s="217">
        <f t="shared" si="150"/>
        <v>135978.9426510809</v>
      </c>
      <c r="D105" s="217">
        <f t="shared" si="150"/>
        <v>395541.87386187853</v>
      </c>
      <c r="E105" s="217">
        <f t="shared" si="150"/>
        <v>682491.80060662073</v>
      </c>
      <c r="F105" s="384">
        <f t="shared" si="150"/>
        <v>955488.52084926912</v>
      </c>
      <c r="G105" s="384">
        <f t="shared" si="150"/>
        <v>1182110.4743998349</v>
      </c>
      <c r="H105" s="217">
        <f t="shared" si="150"/>
        <v>1677193.6610321649</v>
      </c>
      <c r="I105" s="217">
        <f t="shared" si="150"/>
        <v>2091276.2053158698</v>
      </c>
      <c r="J105" s="217">
        <f t="shared" si="150"/>
        <v>3136914.307973804</v>
      </c>
      <c r="K105" s="217">
        <f t="shared" si="150"/>
        <v>5228190.5132896742</v>
      </c>
    </row>
    <row r="106" spans="1:11" ht="14.25" hidden="1" outlineLevel="1">
      <c r="A106">
        <v>3</v>
      </c>
      <c r="B106" s="217">
        <f t="shared" si="150"/>
        <v>122848.52410919174</v>
      </c>
      <c r="C106" s="217">
        <f t="shared" si="150"/>
        <v>203968.41397662132</v>
      </c>
      <c r="D106" s="217">
        <f t="shared" si="150"/>
        <v>593312.81079281785</v>
      </c>
      <c r="E106" s="217">
        <f t="shared" si="150"/>
        <v>1023737.7009099312</v>
      </c>
      <c r="F106" s="384">
        <f t="shared" si="150"/>
        <v>1433232.7812739036</v>
      </c>
      <c r="G106" s="384">
        <f t="shared" si="150"/>
        <v>1773165.7115997525</v>
      </c>
      <c r="H106" s="217">
        <f t="shared" si="150"/>
        <v>2515790.4915482476</v>
      </c>
      <c r="I106" s="217">
        <f t="shared" si="150"/>
        <v>3136914.3079738049</v>
      </c>
      <c r="J106" s="217">
        <f t="shared" si="150"/>
        <v>4705371.4619607069</v>
      </c>
      <c r="K106" s="217">
        <f t="shared" si="150"/>
        <v>7842285.7699345108</v>
      </c>
    </row>
    <row r="107" spans="1:11" ht="14.25" hidden="1" outlineLevel="1">
      <c r="A107">
        <v>4</v>
      </c>
      <c r="B107" s="217">
        <f t="shared" si="150"/>
        <v>163798.03214558898</v>
      </c>
      <c r="C107" s="217">
        <f t="shared" si="150"/>
        <v>271957.8853021618</v>
      </c>
      <c r="D107" s="217">
        <f t="shared" si="150"/>
        <v>791083.74772375706</v>
      </c>
      <c r="E107" s="217">
        <f t="shared" si="150"/>
        <v>1364983.6012132415</v>
      </c>
      <c r="F107" s="384">
        <f t="shared" si="150"/>
        <v>1910977.0416985382</v>
      </c>
      <c r="G107" s="384">
        <f t="shared" si="150"/>
        <v>2364220.9487996697</v>
      </c>
      <c r="H107" s="217">
        <f t="shared" si="150"/>
        <v>3354387.3220643299</v>
      </c>
      <c r="I107" s="217">
        <f t="shared" si="150"/>
        <v>4182552.4106317395</v>
      </c>
      <c r="J107" s="217">
        <f t="shared" si="150"/>
        <v>6273828.6159476079</v>
      </c>
      <c r="K107" s="217">
        <f t="shared" si="150"/>
        <v>10456381.026579348</v>
      </c>
    </row>
    <row r="108" spans="1:11" ht="14.25" hidden="1" outlineLevel="1">
      <c r="A108">
        <v>5</v>
      </c>
      <c r="B108" s="217">
        <f t="shared" si="150"/>
        <v>204747.5401819862</v>
      </c>
      <c r="C108" s="217">
        <f t="shared" si="150"/>
        <v>339947.35662770225</v>
      </c>
      <c r="D108" s="217">
        <f t="shared" si="150"/>
        <v>988854.68465469638</v>
      </c>
      <c r="E108" s="217">
        <f t="shared" si="150"/>
        <v>1706229.5015165519</v>
      </c>
      <c r="F108" s="384">
        <f t="shared" si="150"/>
        <v>2388721.3021231727</v>
      </c>
      <c r="G108" s="384">
        <f t="shared" si="150"/>
        <v>2955276.1859995876</v>
      </c>
      <c r="H108" s="217">
        <f t="shared" si="150"/>
        <v>4192984.1525804126</v>
      </c>
      <c r="I108" s="217">
        <f t="shared" si="150"/>
        <v>5228190.5132896751</v>
      </c>
      <c r="J108" s="217">
        <f t="shared" si="150"/>
        <v>7842285.7699345108</v>
      </c>
      <c r="K108" s="217">
        <f t="shared" si="150"/>
        <v>13070476.283224184</v>
      </c>
    </row>
    <row r="109" spans="1:11" ht="14.25" collapsed="1">
      <c r="A109" s="306" t="s">
        <v>578</v>
      </c>
      <c r="B109" s="217"/>
      <c r="C109" s="217"/>
      <c r="D109" s="217"/>
      <c r="E109" s="217"/>
      <c r="F109" s="384"/>
      <c r="G109" s="384"/>
      <c r="H109" s="217"/>
      <c r="I109" s="217"/>
      <c r="J109" s="217"/>
      <c r="K109" s="217"/>
    </row>
    <row r="110" spans="1:11" ht="14.25" hidden="1" outlineLevel="1">
      <c r="A110">
        <v>1</v>
      </c>
      <c r="B110" s="217">
        <f>B$101*(SQRT(0.0576/(2*($B104^(1/5)))))</f>
        <v>7.0701791940270292E-2</v>
      </c>
      <c r="C110" s="217">
        <f t="shared" ref="C110:I110" si="151">C$101*(SQRT(0.0576/(2*($B104^(1/5)))))</f>
        <v>1.2705059437181236</v>
      </c>
      <c r="D110" s="217">
        <f t="shared" si="151"/>
        <v>3.6957067905758314</v>
      </c>
      <c r="E110" s="217">
        <f t="shared" si="151"/>
        <v>6.3767953501049224</v>
      </c>
      <c r="F110" s="384">
        <f t="shared" si="151"/>
        <v>1.1746189430880185</v>
      </c>
      <c r="G110" s="384">
        <f t="shared" si="151"/>
        <v>11.044933535850692</v>
      </c>
      <c r="H110" s="217">
        <f t="shared" si="151"/>
        <v>15.670694841152951</v>
      </c>
      <c r="I110" s="217">
        <f t="shared" si="151"/>
        <v>2.160875462257017</v>
      </c>
      <c r="J110" s="217">
        <f t="shared" ref="J110:K110" si="152">J$101*(SQRT(0.0576/(2*($B104^(1/5)))))</f>
        <v>3.2413131933855248</v>
      </c>
      <c r="K110" s="217">
        <f t="shared" si="152"/>
        <v>5.4021886556425418</v>
      </c>
    </row>
    <row r="111" spans="1:11" ht="14.25" hidden="1" outlineLevel="1">
      <c r="A111">
        <v>2</v>
      </c>
      <c r="B111" s="217">
        <f t="shared" ref="B111:I114" si="153">B$101*(SQRT(0.0576/(2*($B105^(1/5)))))</f>
        <v>6.5967104441043339E-2</v>
      </c>
      <c r="C111" s="217">
        <f t="shared" si="153"/>
        <v>1.1854239614326156</v>
      </c>
      <c r="D111" s="217">
        <f t="shared" si="153"/>
        <v>3.4482163626538616</v>
      </c>
      <c r="E111" s="217">
        <f t="shared" si="153"/>
        <v>5.949760441926399</v>
      </c>
      <c r="F111" s="384">
        <f t="shared" si="153"/>
        <v>1.0959582263852168</v>
      </c>
      <c r="G111" s="384">
        <f t="shared" si="153"/>
        <v>10.305287378279981</v>
      </c>
      <c r="H111" s="217">
        <f t="shared" si="153"/>
        <v>14.621275287101355</v>
      </c>
      <c r="I111" s="217">
        <f t="shared" si="153"/>
        <v>2.0161680968881459</v>
      </c>
      <c r="J111" s="217">
        <f t="shared" ref="J111:K111" si="154">J$101*(SQRT(0.0576/(2*($B105^(1/5)))))</f>
        <v>3.0242521453322189</v>
      </c>
      <c r="K111" s="217">
        <f t="shared" si="154"/>
        <v>5.0404202422203648</v>
      </c>
    </row>
    <row r="112" spans="1:11" ht="14.25" hidden="1" outlineLevel="1">
      <c r="A112">
        <v>3</v>
      </c>
      <c r="B112" s="217">
        <f t="shared" si="153"/>
        <v>6.3345868614786596E-2</v>
      </c>
      <c r="C112" s="217">
        <f t="shared" si="153"/>
        <v>1.1383205485522241</v>
      </c>
      <c r="D112" s="217">
        <f t="shared" si="153"/>
        <v>3.3111997641073683</v>
      </c>
      <c r="E112" s="217">
        <f t="shared" si="153"/>
        <v>5.7133437405997398</v>
      </c>
      <c r="F112" s="384">
        <f t="shared" si="153"/>
        <v>1.0524097791489249</v>
      </c>
      <c r="G112" s="384">
        <f t="shared" si="153"/>
        <v>9.89580163982437</v>
      </c>
      <c r="H112" s="217">
        <f t="shared" si="153"/>
        <v>14.040291614513976</v>
      </c>
      <c r="I112" s="217">
        <f t="shared" si="153"/>
        <v>1.9360546510714918</v>
      </c>
      <c r="J112" s="217">
        <f t="shared" ref="J112:K112" si="155">J$101*(SQRT(0.0576/(2*($B106^(1/5)))))</f>
        <v>2.9040819766072374</v>
      </c>
      <c r="K112" s="217">
        <f t="shared" si="155"/>
        <v>4.8401366276787297</v>
      </c>
    </row>
    <row r="113" spans="1:11" ht="14.25" hidden="1" outlineLevel="1">
      <c r="A113">
        <v>4</v>
      </c>
      <c r="B113" s="217">
        <f t="shared" si="153"/>
        <v>6.1549484799647676E-2</v>
      </c>
      <c r="C113" s="217">
        <f t="shared" si="153"/>
        <v>1.1060396649748863</v>
      </c>
      <c r="D113" s="217">
        <f t="shared" si="153"/>
        <v>3.2172996283131012</v>
      </c>
      <c r="E113" s="217">
        <f t="shared" si="153"/>
        <v>5.5513227840579447</v>
      </c>
      <c r="F113" s="384">
        <f t="shared" si="153"/>
        <v>1.0225651825635724</v>
      </c>
      <c r="G113" s="384">
        <f t="shared" si="153"/>
        <v>9.6151731112030721</v>
      </c>
      <c r="H113" s="217">
        <f t="shared" si="153"/>
        <v>13.642132221207367</v>
      </c>
      <c r="I113" s="217">
        <f t="shared" si="153"/>
        <v>1.8811513508806186</v>
      </c>
      <c r="J113" s="217">
        <f t="shared" ref="J113:K113" si="156">J$101*(SQRT(0.0576/(2*($B107^(1/5)))))</f>
        <v>2.8217270263209273</v>
      </c>
      <c r="K113" s="217">
        <f t="shared" si="156"/>
        <v>4.7028783772015466</v>
      </c>
    </row>
    <row r="114" spans="1:11" ht="14.25" hidden="1" outlineLevel="1">
      <c r="A114">
        <v>5</v>
      </c>
      <c r="B114" s="217">
        <f t="shared" si="153"/>
        <v>6.0191258072510356E-2</v>
      </c>
      <c r="C114" s="217">
        <f t="shared" si="153"/>
        <v>1.0816324316871839</v>
      </c>
      <c r="D114" s="217">
        <f t="shared" si="153"/>
        <v>3.1463027327483664</v>
      </c>
      <c r="E114" s="217">
        <f t="shared" si="153"/>
        <v>5.4288204592892244</v>
      </c>
      <c r="F114" s="384">
        <f t="shared" si="153"/>
        <v>0.99999999999999956</v>
      </c>
      <c r="G114" s="384">
        <f t="shared" si="153"/>
        <v>9.4029928606583457</v>
      </c>
      <c r="H114" s="217">
        <f t="shared" si="153"/>
        <v>13.341088131914013</v>
      </c>
      <c r="I114" s="217">
        <f t="shared" si="153"/>
        <v>1.8396395486149535</v>
      </c>
      <c r="J114" s="217">
        <f t="shared" ref="J114:K114" si="157">J$101*(SQRT(0.0576/(2*($B108^(1/5)))))</f>
        <v>2.7594593229224298</v>
      </c>
      <c r="K114" s="217">
        <f t="shared" si="157"/>
        <v>4.5990988715373833</v>
      </c>
    </row>
    <row r="115" spans="1:11" s="218" customFormat="1" collapsed="1">
      <c r="A115" s="307" t="s">
        <v>582</v>
      </c>
      <c r="B115" s="381">
        <f>B121</f>
        <v>6.0181143209396333E-2</v>
      </c>
      <c r="C115" s="381">
        <f t="shared" ref="C115:I115" si="158">C121</f>
        <v>1.0811279314837479</v>
      </c>
      <c r="D115" s="381">
        <f t="shared" si="158"/>
        <v>3.1332236884634259</v>
      </c>
      <c r="E115" s="381">
        <f t="shared" si="158"/>
        <v>5.3673235709961107</v>
      </c>
      <c r="F115" s="389">
        <f t="shared" si="158"/>
        <v>0.97840655481107441</v>
      </c>
      <c r="G115" s="389">
        <f t="shared" si="158"/>
        <v>9.0110891306590002</v>
      </c>
      <c r="H115" s="381">
        <f t="shared" si="158"/>
        <v>12.232404240227408</v>
      </c>
      <c r="I115" s="381">
        <f t="shared" si="158"/>
        <v>1.6037128443274247</v>
      </c>
      <c r="J115" s="381">
        <f t="shared" ref="J115:K115" si="159">J121</f>
        <v>2.1697644844157109</v>
      </c>
      <c r="K115" s="381">
        <f t="shared" si="159"/>
        <v>3.0267352117663111</v>
      </c>
    </row>
    <row r="116" spans="1:11" ht="14.25">
      <c r="A116" s="306" t="s">
        <v>577</v>
      </c>
    </row>
    <row r="117" spans="1:11" ht="14.25" hidden="1" outlineLevel="1">
      <c r="A117">
        <v>1</v>
      </c>
      <c r="B117" s="217">
        <f>B110*SQRT((1+0.2*B$7^2)^(-0.467))</f>
        <v>7.0689910830449815E-2</v>
      </c>
      <c r="C117" s="217">
        <f t="shared" ref="C117:I117" si="160">C110*SQRT((1+0.2*C$7^2)^(-0.467))</f>
        <v>1.2699133482223759</v>
      </c>
      <c r="D117" s="217">
        <f t="shared" si="160"/>
        <v>3.680343897401253</v>
      </c>
      <c r="E117" s="217">
        <f t="shared" si="160"/>
        <v>6.3045599401748627</v>
      </c>
      <c r="F117" s="384">
        <f t="shared" si="160"/>
        <v>1.1492548733225743</v>
      </c>
      <c r="G117" s="384">
        <f t="shared" si="160"/>
        <v>10.584595990726609</v>
      </c>
      <c r="H117" s="217">
        <f t="shared" si="160"/>
        <v>14.368413740081319</v>
      </c>
      <c r="I117" s="217">
        <f t="shared" si="160"/>
        <v>1.8837514862205602</v>
      </c>
      <c r="J117" s="217">
        <f t="shared" ref="J117:K117" si="161">J110*SQRT((1+0.2*J$7^2)^(-0.467))</f>
        <v>2.5486464654343024</v>
      </c>
      <c r="K117" s="217">
        <f t="shared" si="161"/>
        <v>3.5552605154522352</v>
      </c>
    </row>
    <row r="118" spans="1:11" ht="14.25" hidden="1" outlineLevel="1">
      <c r="A118">
        <v>2</v>
      </c>
      <c r="B118" s="217">
        <f t="shared" ref="B118:I120" si="162">B111*SQRT((1+0.2*B$7^2)^(-0.467))</f>
        <v>6.5956018973604758E-2</v>
      </c>
      <c r="C118" s="217">
        <f t="shared" si="162"/>
        <v>1.1848710502844471</v>
      </c>
      <c r="D118" s="217">
        <f t="shared" si="162"/>
        <v>3.4338822764765244</v>
      </c>
      <c r="E118" s="217">
        <f t="shared" si="162"/>
        <v>5.8823624213044674</v>
      </c>
      <c r="F118" s="384">
        <f t="shared" si="162"/>
        <v>1.0722927124944159</v>
      </c>
      <c r="G118" s="384">
        <f t="shared" si="162"/>
        <v>9.8757772614361485</v>
      </c>
      <c r="H118" s="217">
        <f t="shared" si="162"/>
        <v>13.406204055546644</v>
      </c>
      <c r="I118" s="217">
        <f t="shared" si="162"/>
        <v>1.7576022845002761</v>
      </c>
      <c r="J118" s="217">
        <f t="shared" ref="J118:K118" si="163">J111*SQRT((1+0.2*J$7^2)^(-0.467))</f>
        <v>2.3779712360138778</v>
      </c>
      <c r="K118" s="217">
        <f t="shared" si="163"/>
        <v>3.3171753544250913</v>
      </c>
    </row>
    <row r="119" spans="1:11" ht="14.25" hidden="1" outlineLevel="1">
      <c r="A119">
        <v>3</v>
      </c>
      <c r="B119" s="217">
        <f t="shared" si="162"/>
        <v>6.333522363393064E-2</v>
      </c>
      <c r="C119" s="217">
        <f t="shared" si="162"/>
        <v>1.1377896076045455</v>
      </c>
      <c r="D119" s="217">
        <f t="shared" si="162"/>
        <v>3.2974352499999751</v>
      </c>
      <c r="E119" s="217">
        <f t="shared" si="162"/>
        <v>5.6486238139728373</v>
      </c>
      <c r="F119" s="384">
        <f t="shared" si="162"/>
        <v>1.0296846262665837</v>
      </c>
      <c r="G119" s="384">
        <f t="shared" si="162"/>
        <v>9.4833583218881188</v>
      </c>
      <c r="H119" s="217">
        <f t="shared" si="162"/>
        <v>12.873501844918104</v>
      </c>
      <c r="I119" s="217">
        <f t="shared" si="162"/>
        <v>1.6877630803169197</v>
      </c>
      <c r="J119" s="217">
        <f t="shared" ref="J119:K119" si="164">J112*SQRT((1+0.2*J$7^2)^(-0.467))</f>
        <v>2.2834813618491201</v>
      </c>
      <c r="K119" s="217">
        <f t="shared" si="164"/>
        <v>3.1853657357572591</v>
      </c>
    </row>
    <row r="120" spans="1:11" ht="14.25" hidden="1" outlineLevel="1">
      <c r="A120">
        <v>4</v>
      </c>
      <c r="B120" s="217">
        <f t="shared" si="162"/>
        <v>6.1539141692800878E-2</v>
      </c>
      <c r="C120" s="217">
        <f t="shared" si="162"/>
        <v>1.1055237806322564</v>
      </c>
      <c r="D120" s="217">
        <f t="shared" si="162"/>
        <v>3.2039254530061139</v>
      </c>
      <c r="E120" s="217">
        <f t="shared" si="162"/>
        <v>5.488438207253405</v>
      </c>
      <c r="F120" s="384">
        <f t="shared" si="162"/>
        <v>1.0004844773417827</v>
      </c>
      <c r="G120" s="384">
        <f t="shared" si="162"/>
        <v>9.2144260019889472</v>
      </c>
      <c r="H120" s="217">
        <f t="shared" si="162"/>
        <v>12.508430675099563</v>
      </c>
      <c r="I120" s="217">
        <f t="shared" si="162"/>
        <v>1.6399009174392196</v>
      </c>
      <c r="J120" s="217">
        <f t="shared" ref="J120:K120" si="165">J113*SQRT((1+0.2*J$7^2)^(-0.467))</f>
        <v>2.2187256161265076</v>
      </c>
      <c r="K120" s="217">
        <f t="shared" si="165"/>
        <v>3.0950340443914124</v>
      </c>
    </row>
    <row r="121" spans="1:11" ht="14.25" hidden="1" outlineLevel="1">
      <c r="A121">
        <v>5</v>
      </c>
      <c r="B121" s="217">
        <f>B114*SQRT((1+0.2*B$7^2)^(-0.467))</f>
        <v>6.0181143209396333E-2</v>
      </c>
      <c r="C121" s="217">
        <f t="shared" ref="C121:I121" si="166">C114*SQRT((1+0.2*C$7^2)^(-0.467))</f>
        <v>1.0811279314837479</v>
      </c>
      <c r="D121" s="217">
        <f t="shared" si="166"/>
        <v>3.1332236884634259</v>
      </c>
      <c r="E121" s="217">
        <f t="shared" si="166"/>
        <v>5.3673235709961107</v>
      </c>
      <c r="F121" s="384">
        <f t="shared" si="166"/>
        <v>0.97840655481107441</v>
      </c>
      <c r="G121" s="384">
        <f t="shared" si="166"/>
        <v>9.0110891306590002</v>
      </c>
      <c r="H121" s="217">
        <f t="shared" si="166"/>
        <v>12.232404240227408</v>
      </c>
      <c r="I121" s="217">
        <f t="shared" si="166"/>
        <v>1.6037128443274247</v>
      </c>
      <c r="J121" s="217">
        <f t="shared" ref="J121:K121" si="167">J114*SQRT((1+0.2*J$7^2)^(-0.467))</f>
        <v>2.1697644844157109</v>
      </c>
      <c r="K121" s="217">
        <f t="shared" si="167"/>
        <v>3.0267352117663111</v>
      </c>
    </row>
    <row r="122" spans="1:11" ht="14.25" collapsed="1"/>
    <row r="123" spans="1:11" ht="15" customHeight="1">
      <c r="A123" s="299" t="s">
        <v>581</v>
      </c>
    </row>
    <row r="124" spans="1:11" s="300" customFormat="1" ht="15" customHeight="1">
      <c r="A124" s="305" t="s">
        <v>390</v>
      </c>
      <c r="B124" s="379">
        <f>IF(B6&lt;1,B$93*RADIANS(B$9),IF(B6=1,(4*RADIANS(B$9))/SQRT((1.01)^2-1),(4*RADIANS(B$9))/SQRT(B6^2-1)))</f>
        <v>0</v>
      </c>
      <c r="C124" s="379">
        <f t="shared" ref="C124:I124" si="168">IF(C6&lt;1,C$93*RADIANS(C$9),IF(C6=1,(4*RADIANS(C$9))/SQRT((1.01)^2-1),(4*RADIANS(C$9))/SQRT(C6^2-1)))</f>
        <v>0.15593951658835067</v>
      </c>
      <c r="D124" s="379">
        <f t="shared" si="168"/>
        <v>0.48794889566365213</v>
      </c>
      <c r="E124" s="379">
        <f t="shared" si="168"/>
        <v>0</v>
      </c>
      <c r="F124" s="390">
        <f t="shared" si="168"/>
        <v>0</v>
      </c>
      <c r="G124" s="390">
        <f t="shared" si="168"/>
        <v>14.772724033487602</v>
      </c>
      <c r="H124" s="379">
        <f t="shared" si="168"/>
        <v>2.1854979163237811</v>
      </c>
      <c r="I124" s="379">
        <f t="shared" si="168"/>
        <v>1.6122661015415269</v>
      </c>
      <c r="J124" s="379">
        <f t="shared" ref="J124:K124" si="169">IF(J6&lt;1,J$93*RADIANS(J$9),IF(J6=1,(4*RADIANS(J$9))/SQRT((1.01)^2-1),(4*RADIANS(J$9))/SQRT(J6^2-1)))</f>
        <v>0.98730731959074791</v>
      </c>
      <c r="K124" s="379">
        <f t="shared" si="169"/>
        <v>0.57002214673860629</v>
      </c>
    </row>
    <row r="125" spans="1:11" ht="15" customHeight="1">
      <c r="A125" t="s">
        <v>391</v>
      </c>
    </row>
    <row r="126" spans="1:11" ht="15" hidden="1" customHeight="1" outlineLevel="1">
      <c r="A126">
        <v>1</v>
      </c>
      <c r="B126" s="222">
        <f>B$29*(B81)*B$124</f>
        <v>0</v>
      </c>
      <c r="C126" s="222">
        <f t="shared" ref="C126:I126" si="170">C$29*(C81)*C$124</f>
        <v>0.2198204765776203</v>
      </c>
      <c r="D126" s="222">
        <f t="shared" si="170"/>
        <v>6.1905439380134863</v>
      </c>
      <c r="E126" s="222">
        <f t="shared" si="170"/>
        <v>0</v>
      </c>
      <c r="F126" s="382">
        <f t="shared" si="170"/>
        <v>0</v>
      </c>
      <c r="G126" s="382">
        <f t="shared" si="170"/>
        <v>2082.4402360841359</v>
      </c>
      <c r="H126" s="222">
        <f t="shared" si="170"/>
        <v>693.17816874234961</v>
      </c>
      <c r="I126" s="222">
        <f t="shared" si="170"/>
        <v>909.09375779680011</v>
      </c>
      <c r="J126" s="222">
        <f t="shared" ref="J126:K126" si="171">J$29*(J81)*J$124</f>
        <v>1252.5839071602054</v>
      </c>
      <c r="K126" s="222">
        <f t="shared" si="171"/>
        <v>2008.8323777264945</v>
      </c>
    </row>
    <row r="127" spans="1:11" ht="15" hidden="1" customHeight="1" outlineLevel="1">
      <c r="A127">
        <v>2</v>
      </c>
      <c r="B127" s="222">
        <f>B$29*(B82)*B$124</f>
        <v>0</v>
      </c>
      <c r="C127" s="222">
        <f t="shared" ref="C127:I127" si="172">C$29*(C82)*C$124</f>
        <v>0.21295108668456972</v>
      </c>
      <c r="D127" s="222">
        <f t="shared" si="172"/>
        <v>5.9970894399505665</v>
      </c>
      <c r="E127" s="222">
        <f t="shared" si="172"/>
        <v>0</v>
      </c>
      <c r="F127" s="382">
        <f t="shared" si="172"/>
        <v>0</v>
      </c>
      <c r="G127" s="382">
        <f t="shared" si="172"/>
        <v>2017.3639787065069</v>
      </c>
      <c r="H127" s="222">
        <f t="shared" si="172"/>
        <v>671.5163509691514</v>
      </c>
      <c r="I127" s="222">
        <f t="shared" si="172"/>
        <v>880.68457786565023</v>
      </c>
      <c r="J127" s="222">
        <f t="shared" ref="J127:K127" si="173">J$29*(J82)*J$124</f>
        <v>1213.4406600614493</v>
      </c>
      <c r="K127" s="222">
        <f t="shared" si="173"/>
        <v>1946.056365922542</v>
      </c>
    </row>
    <row r="128" spans="1:11" ht="15" hidden="1" customHeight="1" outlineLevel="1">
      <c r="A128">
        <v>3</v>
      </c>
      <c r="B128" s="222">
        <f>B$29*(B83)*B$124</f>
        <v>0</v>
      </c>
      <c r="C128" s="222">
        <f t="shared" ref="C128:I128" si="174">C$29*(C83)*C$124</f>
        <v>0.20608169679151903</v>
      </c>
      <c r="D128" s="222">
        <f t="shared" si="174"/>
        <v>5.8036349418876441</v>
      </c>
      <c r="E128" s="222">
        <f t="shared" si="174"/>
        <v>0</v>
      </c>
      <c r="F128" s="382">
        <f t="shared" si="174"/>
        <v>0</v>
      </c>
      <c r="G128" s="382">
        <f t="shared" si="174"/>
        <v>1952.2877213288775</v>
      </c>
      <c r="H128" s="222">
        <f t="shared" si="174"/>
        <v>649.85453319595274</v>
      </c>
      <c r="I128" s="222">
        <f t="shared" si="174"/>
        <v>852.27539793450023</v>
      </c>
      <c r="J128" s="222">
        <f t="shared" ref="J128:K128" si="175">J$29*(J83)*J$124</f>
        <v>1174.2974129626925</v>
      </c>
      <c r="K128" s="222">
        <f t="shared" si="175"/>
        <v>1883.2803541185888</v>
      </c>
    </row>
    <row r="129" spans="1:11" ht="15" hidden="1" customHeight="1" outlineLevel="1">
      <c r="A129">
        <v>4</v>
      </c>
      <c r="B129" s="222">
        <f>B$29*(B84)*B$124</f>
        <v>0</v>
      </c>
      <c r="C129" s="222">
        <f t="shared" ref="C129:I129" si="176">C$29*(C84)*C$124</f>
        <v>0.19921230689846844</v>
      </c>
      <c r="D129" s="222">
        <f t="shared" si="176"/>
        <v>5.6101804438247234</v>
      </c>
      <c r="E129" s="222">
        <f t="shared" si="176"/>
        <v>0</v>
      </c>
      <c r="F129" s="382">
        <f t="shared" si="176"/>
        <v>0</v>
      </c>
      <c r="G129" s="382">
        <f t="shared" si="176"/>
        <v>1887.2114639512483</v>
      </c>
      <c r="H129" s="222">
        <f t="shared" si="176"/>
        <v>628.19271542275442</v>
      </c>
      <c r="I129" s="222">
        <f t="shared" si="176"/>
        <v>823.86621800335024</v>
      </c>
      <c r="J129" s="222">
        <f t="shared" ref="J129:K129" si="177">J$29*(J84)*J$124</f>
        <v>1135.1541658639364</v>
      </c>
      <c r="K129" s="222">
        <f t="shared" si="177"/>
        <v>1820.5043423146362</v>
      </c>
    </row>
    <row r="130" spans="1:11" ht="15" hidden="1" customHeight="1" outlineLevel="1">
      <c r="A130">
        <v>5</v>
      </c>
      <c r="B130" s="222">
        <f>B$29*(B85)*B$124</f>
        <v>0</v>
      </c>
      <c r="C130" s="222">
        <f t="shared" ref="C130:I130" si="178">C$29*(C85)*C$124</f>
        <v>0.19234291700541775</v>
      </c>
      <c r="D130" s="222">
        <f t="shared" si="178"/>
        <v>5.4167259457618009</v>
      </c>
      <c r="E130" s="222">
        <f t="shared" si="178"/>
        <v>0</v>
      </c>
      <c r="F130" s="382">
        <f t="shared" si="178"/>
        <v>0</v>
      </c>
      <c r="G130" s="382">
        <f t="shared" si="178"/>
        <v>1822.1352065736187</v>
      </c>
      <c r="H130" s="222">
        <f t="shared" si="178"/>
        <v>606.53089764955587</v>
      </c>
      <c r="I130" s="222">
        <f t="shared" si="178"/>
        <v>795.45703807220002</v>
      </c>
      <c r="J130" s="222">
        <f t="shared" ref="J130:K130" si="179">J$29*(J85)*J$124</f>
        <v>1096.0109187651797</v>
      </c>
      <c r="K130" s="222">
        <f t="shared" si="179"/>
        <v>1757.7283305106828</v>
      </c>
    </row>
    <row r="131" spans="1:11" ht="15" hidden="1" customHeight="1" outlineLevel="1">
      <c r="A131">
        <v>6</v>
      </c>
      <c r="B131" s="222">
        <f>B$29*(B86)*B$124</f>
        <v>0</v>
      </c>
      <c r="C131" s="222">
        <f t="shared" ref="C131:I131" si="180">C$29*(C86)*C$124</f>
        <v>0.18547352711236714</v>
      </c>
      <c r="D131" s="222">
        <f t="shared" si="180"/>
        <v>5.2232714476988802</v>
      </c>
      <c r="E131" s="222">
        <f t="shared" si="180"/>
        <v>0</v>
      </c>
      <c r="F131" s="382">
        <f t="shared" si="180"/>
        <v>0</v>
      </c>
      <c r="G131" s="382">
        <f t="shared" si="180"/>
        <v>1757.0589491959895</v>
      </c>
      <c r="H131" s="222">
        <f t="shared" si="180"/>
        <v>584.86907987635755</v>
      </c>
      <c r="I131" s="222">
        <f t="shared" si="180"/>
        <v>767.04785814105014</v>
      </c>
      <c r="J131" s="222">
        <f t="shared" ref="J131:K131" si="181">J$29*(J86)*J$124</f>
        <v>1056.8676716664233</v>
      </c>
      <c r="K131" s="222">
        <f t="shared" si="181"/>
        <v>1694.9523187067298</v>
      </c>
    </row>
    <row r="132" spans="1:11" ht="15" hidden="1" customHeight="1" outlineLevel="1">
      <c r="A132">
        <v>7</v>
      </c>
      <c r="B132" s="222">
        <f>B$29*(B87)*B$124</f>
        <v>0</v>
      </c>
      <c r="C132" s="222">
        <f t="shared" ref="C132:I132" si="182">C$29*(C87)*C$124</f>
        <v>0.17860413721931651</v>
      </c>
      <c r="D132" s="222">
        <f t="shared" si="182"/>
        <v>5.0298169496359586</v>
      </c>
      <c r="E132" s="222">
        <f t="shared" si="182"/>
        <v>0</v>
      </c>
      <c r="F132" s="382">
        <f t="shared" si="182"/>
        <v>0</v>
      </c>
      <c r="G132" s="382">
        <f t="shared" si="182"/>
        <v>1691.9826918183605</v>
      </c>
      <c r="H132" s="222">
        <f t="shared" si="182"/>
        <v>563.20726210315911</v>
      </c>
      <c r="I132" s="222">
        <f t="shared" si="182"/>
        <v>738.63867820990015</v>
      </c>
      <c r="J132" s="222">
        <f t="shared" ref="J132:K132" si="183">J$29*(J87)*J$124</f>
        <v>1017.7244245676669</v>
      </c>
      <c r="K132" s="222">
        <f t="shared" si="183"/>
        <v>1632.176306902777</v>
      </c>
    </row>
    <row r="133" spans="1:11" ht="15" hidden="1" customHeight="1" outlineLevel="1">
      <c r="A133">
        <v>8</v>
      </c>
      <c r="B133" s="222">
        <f>B$29*(B88)*B$124</f>
        <v>0</v>
      </c>
      <c r="C133" s="222">
        <f t="shared" ref="C133:I133" si="184">C$29*(C88)*C$124</f>
        <v>0.17173474732626584</v>
      </c>
      <c r="D133" s="222">
        <f t="shared" si="184"/>
        <v>4.836362451573037</v>
      </c>
      <c r="E133" s="222">
        <f t="shared" si="184"/>
        <v>0</v>
      </c>
      <c r="F133" s="382">
        <f t="shared" si="184"/>
        <v>0</v>
      </c>
      <c r="G133" s="382">
        <f t="shared" si="184"/>
        <v>1626.9064344407311</v>
      </c>
      <c r="H133" s="222">
        <f t="shared" si="184"/>
        <v>541.54544432996067</v>
      </c>
      <c r="I133" s="222">
        <f t="shared" si="184"/>
        <v>710.22949827875016</v>
      </c>
      <c r="J133" s="222">
        <f t="shared" ref="J133:K133" si="185">J$29*(J88)*J$124</f>
        <v>978.58117746891048</v>
      </c>
      <c r="K133" s="222">
        <f t="shared" si="185"/>
        <v>1569.400295098824</v>
      </c>
    </row>
    <row r="134" spans="1:11" ht="15" hidden="1" customHeight="1" outlineLevel="1">
      <c r="A134">
        <v>9</v>
      </c>
      <c r="B134" s="222">
        <f>B$29*(B89)*B$124</f>
        <v>0</v>
      </c>
      <c r="C134" s="222">
        <f t="shared" ref="C134:I134" si="186">C$29*(C89)*C$124</f>
        <v>0.16486535743321523</v>
      </c>
      <c r="D134" s="222">
        <f t="shared" si="186"/>
        <v>4.6429079535101154</v>
      </c>
      <c r="E134" s="222">
        <f t="shared" si="186"/>
        <v>0</v>
      </c>
      <c r="F134" s="382">
        <f t="shared" si="186"/>
        <v>0</v>
      </c>
      <c r="G134" s="382">
        <f t="shared" si="186"/>
        <v>1561.8301770631019</v>
      </c>
      <c r="H134" s="222">
        <f t="shared" si="186"/>
        <v>519.88362655676224</v>
      </c>
      <c r="I134" s="222">
        <f t="shared" si="186"/>
        <v>681.82031834760016</v>
      </c>
      <c r="J134" s="222">
        <f t="shared" ref="J134:K134" si="187">J$29*(J89)*J$124</f>
        <v>939.43793037015416</v>
      </c>
      <c r="K134" s="222">
        <f t="shared" si="187"/>
        <v>1506.6242832948712</v>
      </c>
    </row>
    <row r="135" spans="1:11" ht="15" hidden="1" customHeight="1" outlineLevel="1">
      <c r="A135">
        <v>10</v>
      </c>
      <c r="B135" s="222">
        <f>B$29*(B90)*B$124</f>
        <v>0</v>
      </c>
      <c r="C135" s="222">
        <f t="shared" ref="C135:I135" si="188">C$29*(C90)*C$124</f>
        <v>0.15799596754016459</v>
      </c>
      <c r="D135" s="222">
        <f t="shared" si="188"/>
        <v>4.449453455447193</v>
      </c>
      <c r="E135" s="222">
        <f t="shared" si="188"/>
        <v>0</v>
      </c>
      <c r="F135" s="382">
        <f t="shared" si="188"/>
        <v>0</v>
      </c>
      <c r="G135" s="382">
        <f t="shared" si="188"/>
        <v>1496.7539196854725</v>
      </c>
      <c r="H135" s="222">
        <f t="shared" si="188"/>
        <v>498.2218087835638</v>
      </c>
      <c r="I135" s="222">
        <f t="shared" si="188"/>
        <v>653.41113841645006</v>
      </c>
      <c r="J135" s="222">
        <f t="shared" ref="J135:K135" si="189">J$29*(J90)*J$124</f>
        <v>900.29468327139762</v>
      </c>
      <c r="K135" s="222">
        <f t="shared" si="189"/>
        <v>1443.848271490918</v>
      </c>
    </row>
    <row r="136" spans="1:11" ht="15" customHeight="1" collapsed="1">
      <c r="A136" t="s">
        <v>585</v>
      </c>
    </row>
    <row r="137" spans="1:11" ht="15" hidden="1" customHeight="1" outlineLevel="1">
      <c r="A137">
        <v>1</v>
      </c>
      <c r="B137" s="222">
        <f>B126*$A137*(B$48/11)</f>
        <v>0</v>
      </c>
      <c r="C137" s="222">
        <f t="shared" ref="C137:I137" si="190">C126*$A137*(C$48/11)</f>
        <v>2.9975519533311859E-3</v>
      </c>
      <c r="D137" s="222">
        <f t="shared" si="190"/>
        <v>8.4416508245638441E-2</v>
      </c>
      <c r="E137" s="222">
        <f t="shared" si="190"/>
        <v>0</v>
      </c>
      <c r="F137" s="382">
        <f t="shared" si="190"/>
        <v>0</v>
      </c>
      <c r="G137" s="382">
        <f t="shared" si="190"/>
        <v>28.396912310238214</v>
      </c>
      <c r="H137" s="222">
        <f t="shared" si="190"/>
        <v>9.4524295737593125</v>
      </c>
      <c r="I137" s="222">
        <f t="shared" si="190"/>
        <v>12.396733060865456</v>
      </c>
      <c r="J137" s="222">
        <f t="shared" ref="J137:K137" si="191">J126*$A137*(J$48/11)</f>
        <v>17.080689643093709</v>
      </c>
      <c r="K137" s="222">
        <f t="shared" si="191"/>
        <v>27.393168787179469</v>
      </c>
    </row>
    <row r="138" spans="1:11" ht="15" hidden="1" customHeight="1" outlineLevel="1">
      <c r="A138">
        <v>2</v>
      </c>
      <c r="B138" s="222">
        <f t="shared" ref="B138:I146" si="192">B127*$A138*(B$48/11)</f>
        <v>0</v>
      </c>
      <c r="C138" s="222">
        <f t="shared" si="192"/>
        <v>5.807756909579174E-3</v>
      </c>
      <c r="D138" s="222">
        <f t="shared" si="192"/>
        <v>0.16355698472592453</v>
      </c>
      <c r="E138" s="222">
        <f t="shared" si="192"/>
        <v>0</v>
      </c>
      <c r="F138" s="382">
        <f t="shared" si="192"/>
        <v>0</v>
      </c>
      <c r="G138" s="382">
        <f t="shared" si="192"/>
        <v>55.019017601086553</v>
      </c>
      <c r="H138" s="222">
        <f t="shared" si="192"/>
        <v>18.314082299158674</v>
      </c>
      <c r="I138" s="222">
        <f t="shared" si="192"/>
        <v>24.018670305426824</v>
      </c>
      <c r="J138" s="222">
        <f t="shared" ref="J138:K138" si="193">J127*$A138*(J$48/11)</f>
        <v>33.093836183494069</v>
      </c>
      <c r="K138" s="222">
        <f t="shared" si="193"/>
        <v>53.074264525160231</v>
      </c>
    </row>
    <row r="139" spans="1:11" ht="15" hidden="1" customHeight="1" outlineLevel="1">
      <c r="A139">
        <v>3</v>
      </c>
      <c r="B139" s="222">
        <f t="shared" si="192"/>
        <v>0</v>
      </c>
      <c r="C139" s="222">
        <f t="shared" si="192"/>
        <v>8.4306148687439599E-3</v>
      </c>
      <c r="D139" s="222">
        <f t="shared" si="192"/>
        <v>0.23742142944085814</v>
      </c>
      <c r="E139" s="222">
        <f t="shared" si="192"/>
        <v>0</v>
      </c>
      <c r="F139" s="382">
        <f t="shared" si="192"/>
        <v>0</v>
      </c>
      <c r="G139" s="382">
        <f t="shared" si="192"/>
        <v>79.866315872544988</v>
      </c>
      <c r="H139" s="222">
        <f t="shared" si="192"/>
        <v>26.584958176198068</v>
      </c>
      <c r="I139" s="222">
        <f t="shared" si="192"/>
        <v>34.865811733684097</v>
      </c>
      <c r="J139" s="222">
        <f t="shared" ref="J139:K139" si="194">J128*$A139*(J$48/11)</f>
        <v>48.039439621201055</v>
      </c>
      <c r="K139" s="222">
        <f t="shared" si="194"/>
        <v>77.043287213942264</v>
      </c>
    </row>
    <row r="140" spans="1:11" ht="15" hidden="1" customHeight="1" outlineLevel="1">
      <c r="A140">
        <v>4</v>
      </c>
      <c r="B140" s="222">
        <f t="shared" si="192"/>
        <v>0</v>
      </c>
      <c r="C140" s="222">
        <f t="shared" si="192"/>
        <v>1.0866125830825552E-2</v>
      </c>
      <c r="D140" s="222">
        <f t="shared" si="192"/>
        <v>0.30600984239043943</v>
      </c>
      <c r="E140" s="222">
        <f t="shared" si="192"/>
        <v>0</v>
      </c>
      <c r="F140" s="382">
        <f t="shared" si="192"/>
        <v>0</v>
      </c>
      <c r="G140" s="382">
        <f t="shared" si="192"/>
        <v>102.93880712461355</v>
      </c>
      <c r="H140" s="222">
        <f t="shared" si="192"/>
        <v>34.265057204877515</v>
      </c>
      <c r="I140" s="222">
        <f t="shared" si="192"/>
        <v>44.938157345637286</v>
      </c>
      <c r="J140" s="222">
        <f t="shared" ref="J140:K140" si="195">J129*$A140*(J$48/11)</f>
        <v>61.917499956214712</v>
      </c>
      <c r="K140" s="222">
        <f t="shared" si="195"/>
        <v>99.300236853525604</v>
      </c>
    </row>
    <row r="141" spans="1:11" ht="15" hidden="1" customHeight="1" outlineLevel="1">
      <c r="A141">
        <v>5</v>
      </c>
      <c r="B141" s="222">
        <f t="shared" si="192"/>
        <v>0</v>
      </c>
      <c r="C141" s="222">
        <f t="shared" si="192"/>
        <v>1.3114289795823937E-2</v>
      </c>
      <c r="D141" s="222">
        <f t="shared" si="192"/>
        <v>0.36932222357466821</v>
      </c>
      <c r="E141" s="222">
        <f t="shared" si="192"/>
        <v>0</v>
      </c>
      <c r="F141" s="382">
        <f t="shared" si="192"/>
        <v>0</v>
      </c>
      <c r="G141" s="382">
        <f t="shared" si="192"/>
        <v>124.23649135729218</v>
      </c>
      <c r="H141" s="222">
        <f t="shared" si="192"/>
        <v>41.354379385196985</v>
      </c>
      <c r="I141" s="222">
        <f t="shared" si="192"/>
        <v>54.235707141286362</v>
      </c>
      <c r="J141" s="222">
        <f t="shared" ref="J141:K141" si="196">J130*$A141*(J$48/11)</f>
        <v>74.728017188534977</v>
      </c>
      <c r="K141" s="222">
        <f t="shared" si="196"/>
        <v>119.84511344391018</v>
      </c>
    </row>
    <row r="142" spans="1:11" ht="15" hidden="1" customHeight="1" outlineLevel="1">
      <c r="A142">
        <v>6</v>
      </c>
      <c r="B142" s="222">
        <f t="shared" si="192"/>
        <v>0</v>
      </c>
      <c r="C142" s="222">
        <f t="shared" si="192"/>
        <v>1.517510676373913E-2</v>
      </c>
      <c r="D142" s="222">
        <f t="shared" si="192"/>
        <v>0.42735857299354468</v>
      </c>
      <c r="E142" s="222">
        <f t="shared" si="192"/>
        <v>0</v>
      </c>
      <c r="F142" s="382">
        <f t="shared" si="192"/>
        <v>0</v>
      </c>
      <c r="G142" s="382">
        <f t="shared" si="192"/>
        <v>143.75936857058096</v>
      </c>
      <c r="H142" s="222">
        <f t="shared" si="192"/>
        <v>47.852924717156526</v>
      </c>
      <c r="I142" s="222">
        <f t="shared" si="192"/>
        <v>62.758461120631367</v>
      </c>
      <c r="J142" s="222">
        <f t="shared" ref="J142:K142" si="197">J131*$A142*(J$48/11)</f>
        <v>86.470991318161907</v>
      </c>
      <c r="K142" s="222">
        <f t="shared" si="197"/>
        <v>138.67791698509606</v>
      </c>
    </row>
    <row r="143" spans="1:11" ht="15" hidden="1" customHeight="1" outlineLevel="1">
      <c r="A143">
        <v>7</v>
      </c>
      <c r="B143" s="222">
        <f t="shared" si="192"/>
        <v>0</v>
      </c>
      <c r="C143" s="222">
        <f t="shared" si="192"/>
        <v>1.7048576734571119E-2</v>
      </c>
      <c r="D143" s="222">
        <f t="shared" si="192"/>
        <v>0.48011889064706875</v>
      </c>
      <c r="E143" s="222">
        <f t="shared" si="192"/>
        <v>0</v>
      </c>
      <c r="F143" s="382">
        <f t="shared" si="192"/>
        <v>0</v>
      </c>
      <c r="G143" s="382">
        <f t="shared" si="192"/>
        <v>161.50743876447987</v>
      </c>
      <c r="H143" s="222">
        <f t="shared" si="192"/>
        <v>53.760693200756094</v>
      </c>
      <c r="I143" s="222">
        <f t="shared" si="192"/>
        <v>70.506419283672287</v>
      </c>
      <c r="J143" s="222">
        <f t="shared" ref="J143:K143" si="198">J132*$A143*(J$48/11)</f>
        <v>97.146422345095473</v>
      </c>
      <c r="K143" s="222">
        <f t="shared" si="198"/>
        <v>155.79864747708325</v>
      </c>
    </row>
    <row r="144" spans="1:11" ht="15" hidden="1" customHeight="1" outlineLevel="1">
      <c r="A144">
        <v>8</v>
      </c>
      <c r="B144" s="222">
        <f t="shared" si="192"/>
        <v>0</v>
      </c>
      <c r="C144" s="222">
        <f t="shared" si="192"/>
        <v>1.873469970831991E-2</v>
      </c>
      <c r="D144" s="222">
        <f t="shared" si="192"/>
        <v>0.52760317653524036</v>
      </c>
      <c r="E144" s="222">
        <f t="shared" si="192"/>
        <v>0</v>
      </c>
      <c r="F144" s="382">
        <f t="shared" si="192"/>
        <v>0</v>
      </c>
      <c r="G144" s="382">
        <f t="shared" si="192"/>
        <v>177.48070193898883</v>
      </c>
      <c r="H144" s="222">
        <f t="shared" si="192"/>
        <v>59.077684835995704</v>
      </c>
      <c r="I144" s="222">
        <f t="shared" si="192"/>
        <v>77.479581630409101</v>
      </c>
      <c r="J144" s="222">
        <f t="shared" ref="J144:K144" si="199">J133*$A144*(J$48/11)</f>
        <v>106.75431026933569</v>
      </c>
      <c r="K144" s="222">
        <f t="shared" si="199"/>
        <v>171.20730491987169</v>
      </c>
    </row>
    <row r="145" spans="1:11" ht="15" hidden="1" customHeight="1" outlineLevel="1">
      <c r="A145">
        <v>9</v>
      </c>
      <c r="B145" s="222">
        <f t="shared" si="192"/>
        <v>0</v>
      </c>
      <c r="C145" s="222">
        <f t="shared" si="192"/>
        <v>2.0233475684985507E-2</v>
      </c>
      <c r="D145" s="222">
        <f t="shared" si="192"/>
        <v>0.56981143065805961</v>
      </c>
      <c r="E145" s="222">
        <f t="shared" si="192"/>
        <v>0</v>
      </c>
      <c r="F145" s="382">
        <f t="shared" si="192"/>
        <v>0</v>
      </c>
      <c r="G145" s="382">
        <f t="shared" si="192"/>
        <v>191.67915809410795</v>
      </c>
      <c r="H145" s="222">
        <f t="shared" si="192"/>
        <v>63.803899622875363</v>
      </c>
      <c r="I145" s="222">
        <f t="shared" si="192"/>
        <v>83.677948160841837</v>
      </c>
      <c r="J145" s="222">
        <f t="shared" ref="J145:K145" si="200">J134*$A145*(J$48/11)</f>
        <v>115.29465509088254</v>
      </c>
      <c r="K145" s="222">
        <f t="shared" si="200"/>
        <v>184.90388931346146</v>
      </c>
    </row>
    <row r="146" spans="1:11" ht="15" hidden="1" customHeight="1" outlineLevel="1">
      <c r="A146">
        <v>10</v>
      </c>
      <c r="B146" s="222">
        <f t="shared" si="192"/>
        <v>0</v>
      </c>
      <c r="C146" s="222">
        <f t="shared" si="192"/>
        <v>2.1544904664567897E-2</v>
      </c>
      <c r="D146" s="222">
        <f t="shared" si="192"/>
        <v>0.60674365301552624</v>
      </c>
      <c r="E146" s="222">
        <f t="shared" si="192"/>
        <v>0</v>
      </c>
      <c r="F146" s="382">
        <f t="shared" si="192"/>
        <v>0</v>
      </c>
      <c r="G146" s="382">
        <f t="shared" si="192"/>
        <v>204.10280722983714</v>
      </c>
      <c r="H146" s="222">
        <f t="shared" si="192"/>
        <v>67.93933756139505</v>
      </c>
      <c r="I146" s="222">
        <f t="shared" si="192"/>
        <v>89.101518874970452</v>
      </c>
      <c r="J146" s="222">
        <f t="shared" ref="J146:K146" si="201">J135*$A146*(J$48/11)</f>
        <v>122.76745680973603</v>
      </c>
      <c r="K146" s="222">
        <f t="shared" si="201"/>
        <v>196.88840065785243</v>
      </c>
    </row>
    <row r="147" spans="1:11" ht="15" customHeight="1" collapsed="1">
      <c r="A147" t="s">
        <v>587</v>
      </c>
      <c r="B147" s="222">
        <f>SUM(B126:B135)</f>
        <v>0</v>
      </c>
      <c r="C147" s="222">
        <f t="shared" ref="C147:I147" si="202">SUM(C126:C135)</f>
        <v>1.8890822205889246</v>
      </c>
      <c r="D147" s="222">
        <f t="shared" si="202"/>
        <v>53.19998696730341</v>
      </c>
      <c r="E147" s="222">
        <f t="shared" si="202"/>
        <v>0</v>
      </c>
      <c r="F147" s="382">
        <f t="shared" si="202"/>
        <v>0</v>
      </c>
      <c r="G147" s="382">
        <f t="shared" si="202"/>
        <v>17895.970778848045</v>
      </c>
      <c r="H147" s="222">
        <f t="shared" si="202"/>
        <v>5956.9998876295676</v>
      </c>
      <c r="I147" s="222">
        <f t="shared" si="202"/>
        <v>7812.5244810662498</v>
      </c>
      <c r="J147" s="222">
        <f t="shared" ref="J147:K147" si="203">SUM(J126:J135)</f>
        <v>10764.392952158014</v>
      </c>
      <c r="K147" s="222">
        <f t="shared" si="203"/>
        <v>17263.403246087062</v>
      </c>
    </row>
    <row r="148" spans="1:11" ht="15" customHeight="1">
      <c r="A148" t="s">
        <v>586</v>
      </c>
      <c r="B148" s="222">
        <f>SUM(B137:B146)</f>
        <v>0</v>
      </c>
      <c r="C148" s="222">
        <f t="shared" ref="C148:I148" si="204">SUM(C137:C146)</f>
        <v>0.13395310291448737</v>
      </c>
      <c r="D148" s="222">
        <f t="shared" si="204"/>
        <v>3.7723627122269683</v>
      </c>
      <c r="E148" s="222">
        <f t="shared" si="204"/>
        <v>0</v>
      </c>
      <c r="F148" s="382">
        <f t="shared" si="204"/>
        <v>0</v>
      </c>
      <c r="G148" s="382">
        <f t="shared" si="204"/>
        <v>1268.9870188637701</v>
      </c>
      <c r="H148" s="222">
        <f t="shared" si="204"/>
        <v>422.40544657736928</v>
      </c>
      <c r="I148" s="222">
        <f t="shared" si="204"/>
        <v>553.97900865742508</v>
      </c>
      <c r="J148" s="222">
        <f t="shared" ref="J148:K148" si="205">SUM(J137:J146)</f>
        <v>763.29331842575016</v>
      </c>
      <c r="K148" s="222">
        <f t="shared" si="205"/>
        <v>1224.1322301770824</v>
      </c>
    </row>
    <row r="149" spans="1:11" ht="15" customHeight="1">
      <c r="A149" s="378" t="s">
        <v>392</v>
      </c>
      <c r="B149" s="222">
        <f>(2*B147)/(B29*B91)</f>
        <v>0</v>
      </c>
      <c r="C149" s="222">
        <f t="shared" ref="C149:I149" si="206">(2*C147)/(C29*C91)</f>
        <v>0.31187903317670135</v>
      </c>
      <c r="D149" s="222">
        <f t="shared" si="206"/>
        <v>0.97589779132730436</v>
      </c>
      <c r="E149" s="222">
        <f t="shared" si="206"/>
        <v>0</v>
      </c>
      <c r="F149" s="382">
        <f t="shared" si="206"/>
        <v>0</v>
      </c>
      <c r="G149" s="382">
        <f t="shared" si="206"/>
        <v>29.545448066975204</v>
      </c>
      <c r="H149" s="222">
        <f t="shared" si="206"/>
        <v>4.3709958326475631</v>
      </c>
      <c r="I149" s="222">
        <f t="shared" si="206"/>
        <v>3.224532203083053</v>
      </c>
      <c r="J149" s="222">
        <f t="shared" ref="J149:K149" si="207">(2*J147)/(J29*J91)</f>
        <v>1.9746146391814956</v>
      </c>
      <c r="K149" s="222">
        <f t="shared" si="207"/>
        <v>1.1400442934772126</v>
      </c>
    </row>
    <row r="150" spans="1:11" ht="15" customHeight="1">
      <c r="A150" s="378" t="s">
        <v>588</v>
      </c>
      <c r="B150" s="222" t="e">
        <f>(B148/B147)*100</f>
        <v>#DIV/0!</v>
      </c>
      <c r="C150" s="222">
        <f>(C148/C147)*100</f>
        <v>7.0909090909090891</v>
      </c>
      <c r="D150" s="222">
        <f t="shared" ref="C150:I150" si="208">(D148/D147)*100</f>
        <v>7.0909090909090891</v>
      </c>
      <c r="E150" s="222" t="e">
        <f t="shared" si="208"/>
        <v>#DIV/0!</v>
      </c>
      <c r="F150" s="382" t="e">
        <f t="shared" si="208"/>
        <v>#DIV/0!</v>
      </c>
      <c r="G150" s="382">
        <f t="shared" si="208"/>
        <v>7.0909090909090891</v>
      </c>
      <c r="H150" s="222">
        <f t="shared" si="208"/>
        <v>7.0909090909090891</v>
      </c>
      <c r="I150" s="222">
        <f>(I148/I147)*100</f>
        <v>7.0909090909090917</v>
      </c>
      <c r="J150" s="222">
        <f t="shared" ref="J150:K150" si="209">(J148/J147)*100</f>
        <v>7.0909090909090917</v>
      </c>
      <c r="K150" s="222">
        <f t="shared" si="209"/>
        <v>7.0909090909090891</v>
      </c>
    </row>
    <row r="151" spans="1:11" ht="15" customHeight="1">
      <c r="A151" t="s">
        <v>393</v>
      </c>
    </row>
    <row r="152" spans="1:11" ht="15" hidden="1" customHeight="1" outlineLevel="1">
      <c r="A152">
        <v>0</v>
      </c>
      <c r="B152">
        <v>0</v>
      </c>
      <c r="C152">
        <v>0</v>
      </c>
      <c r="D152">
        <v>0</v>
      </c>
      <c r="E152">
        <v>0</v>
      </c>
      <c r="F152" s="383">
        <v>0</v>
      </c>
      <c r="G152" s="383">
        <v>0</v>
      </c>
      <c r="H152">
        <v>0</v>
      </c>
      <c r="I152">
        <v>0</v>
      </c>
      <c r="J152">
        <v>0</v>
      </c>
      <c r="K152">
        <v>0</v>
      </c>
    </row>
    <row r="153" spans="1:11" ht="15" hidden="1" customHeight="1" outlineLevel="1">
      <c r="A153">
        <v>5</v>
      </c>
      <c r="B153">
        <v>0.35595654307107139</v>
      </c>
      <c r="C153">
        <v>0.35595654307107139</v>
      </c>
      <c r="D153">
        <v>0.35595654307107139</v>
      </c>
      <c r="E153">
        <v>0.35595654307107139</v>
      </c>
      <c r="F153" s="383">
        <v>0.35595654307107139</v>
      </c>
      <c r="G153" s="383">
        <v>0.35595654307107139</v>
      </c>
      <c r="H153">
        <v>0.35595654307107139</v>
      </c>
      <c r="I153">
        <v>0.35595654307107139</v>
      </c>
      <c r="J153">
        <v>0.35595654307107139</v>
      </c>
      <c r="K153">
        <v>0.35595654307107139</v>
      </c>
    </row>
    <row r="154" spans="1:11" ht="15" hidden="1" customHeight="1" outlineLevel="1">
      <c r="A154">
        <v>10</v>
      </c>
      <c r="B154">
        <v>0.71191308614214277</v>
      </c>
      <c r="C154">
        <v>0.71191308614214277</v>
      </c>
      <c r="D154">
        <v>0.71191308614214277</v>
      </c>
      <c r="E154">
        <v>0.71191308614214277</v>
      </c>
      <c r="F154" s="383">
        <v>0.71191308614214277</v>
      </c>
      <c r="G154" s="383">
        <v>0.71191308614214277</v>
      </c>
      <c r="H154">
        <v>0.71191308614214277</v>
      </c>
      <c r="I154">
        <v>0.71191308614214277</v>
      </c>
      <c r="J154">
        <v>0.71191308614214277</v>
      </c>
      <c r="K154">
        <v>0.71191308614214277</v>
      </c>
    </row>
    <row r="155" spans="1:11" ht="15" hidden="1" customHeight="1" outlineLevel="1">
      <c r="A155" s="218">
        <v>15</v>
      </c>
      <c r="B155">
        <v>1.0678696292132142</v>
      </c>
      <c r="C155">
        <v>1.0678696292132142</v>
      </c>
      <c r="D155">
        <v>1.0678696292132142</v>
      </c>
      <c r="E155">
        <v>1.0678696292132142</v>
      </c>
      <c r="F155" s="383">
        <v>1.0678696292132142</v>
      </c>
      <c r="G155" s="383">
        <v>1.0678696292132142</v>
      </c>
      <c r="H155">
        <v>1.0678696292132142</v>
      </c>
      <c r="I155">
        <v>1.0678696292132142</v>
      </c>
      <c r="J155">
        <v>1.0678696292132142</v>
      </c>
      <c r="K155">
        <v>1.0678696292132142</v>
      </c>
    </row>
    <row r="156" spans="1:11" ht="15" hidden="1" customHeight="1" outlineLevel="1">
      <c r="A156" s="298">
        <v>20</v>
      </c>
      <c r="B156">
        <v>1.4238261722842855</v>
      </c>
      <c r="C156">
        <v>1.4238261722842855</v>
      </c>
      <c r="D156">
        <v>1.4238261722842855</v>
      </c>
      <c r="E156">
        <v>1.4238261722842855</v>
      </c>
      <c r="F156" s="383">
        <v>1.4238261722842855</v>
      </c>
      <c r="G156" s="383">
        <v>1.4238261722842855</v>
      </c>
      <c r="H156">
        <v>1.4238261722842855</v>
      </c>
      <c r="I156">
        <v>1.4238261722842855</v>
      </c>
      <c r="J156">
        <v>1.4238261722842855</v>
      </c>
      <c r="K156">
        <v>1.4238261722842855</v>
      </c>
    </row>
    <row r="157" spans="1:11" ht="15" hidden="1" customHeight="1" outlineLevel="1">
      <c r="A157" s="298">
        <v>25</v>
      </c>
      <c r="B157">
        <v>1.7797827153553569</v>
      </c>
      <c r="C157">
        <v>1.7797827153553569</v>
      </c>
      <c r="D157">
        <v>1.7797827153553569</v>
      </c>
      <c r="E157">
        <v>1.7797827153553569</v>
      </c>
      <c r="F157" s="383">
        <v>1.7797827153553569</v>
      </c>
      <c r="G157" s="383">
        <v>1.7797827153553569</v>
      </c>
      <c r="H157">
        <v>1.7797827153553569</v>
      </c>
      <c r="I157">
        <v>1.7797827153553569</v>
      </c>
      <c r="J157">
        <v>1.7797827153553569</v>
      </c>
      <c r="K157">
        <v>1.7797827153553569</v>
      </c>
    </row>
    <row r="158" spans="1:11" ht="15" hidden="1" customHeight="1" outlineLevel="1">
      <c r="A158" s="298">
        <v>30</v>
      </c>
      <c r="B158">
        <v>2.1357392584264283</v>
      </c>
      <c r="C158">
        <v>2.1357392584264283</v>
      </c>
      <c r="D158">
        <v>2.1357392584264283</v>
      </c>
      <c r="E158">
        <v>2.1357392584264283</v>
      </c>
      <c r="F158" s="383">
        <v>2.1357392584264283</v>
      </c>
      <c r="G158" s="383">
        <v>2.1357392584264283</v>
      </c>
      <c r="H158">
        <v>2.1357392584264283</v>
      </c>
      <c r="I158">
        <v>2.1357392584264283</v>
      </c>
      <c r="J158">
        <v>2.1357392584264283</v>
      </c>
      <c r="K158">
        <v>2.1357392584264283</v>
      </c>
    </row>
    <row r="159" spans="1:11" ht="15" hidden="1" customHeight="1" outlineLevel="1">
      <c r="A159" s="298">
        <v>35</v>
      </c>
      <c r="B159">
        <v>2.4916958014974999</v>
      </c>
      <c r="C159">
        <v>2.4916958014974999</v>
      </c>
      <c r="D159">
        <v>2.4916958014974999</v>
      </c>
      <c r="E159">
        <v>2.4916958014974999</v>
      </c>
      <c r="F159" s="383">
        <v>2.4916958014974999</v>
      </c>
      <c r="G159" s="383">
        <v>2.4916958014974999</v>
      </c>
      <c r="H159">
        <v>2.4916958014974999</v>
      </c>
      <c r="I159">
        <v>2.4916958014974999</v>
      </c>
      <c r="J159">
        <v>2.4916958014974999</v>
      </c>
      <c r="K159">
        <v>2.4916958014974999</v>
      </c>
    </row>
    <row r="160" spans="1:11" ht="15" hidden="1" customHeight="1" outlineLevel="1">
      <c r="A160" s="298">
        <v>40</v>
      </c>
      <c r="B160">
        <v>2.8476523445685711</v>
      </c>
      <c r="C160">
        <v>2.8476523445685711</v>
      </c>
      <c r="D160">
        <v>2.8476523445685711</v>
      </c>
      <c r="E160">
        <v>2.8476523445685711</v>
      </c>
      <c r="F160" s="383">
        <v>2.8476523445685711</v>
      </c>
      <c r="G160" s="383">
        <v>2.8476523445685711</v>
      </c>
      <c r="H160">
        <v>2.8476523445685711</v>
      </c>
      <c r="I160">
        <v>2.8476523445685711</v>
      </c>
      <c r="J160">
        <v>2.8476523445685711</v>
      </c>
      <c r="K160">
        <v>2.8476523445685711</v>
      </c>
    </row>
    <row r="161" spans="1:11" ht="15" customHeight="1" collapsed="1">
      <c r="A161" s="300" t="s">
        <v>572</v>
      </c>
      <c r="B161" s="297">
        <f>AVERAGE(B162:B166)</f>
        <v>7.1191308614214271E-2</v>
      </c>
      <c r="C161" s="297">
        <f t="shared" ref="C161:I161" si="210">AVERAGE(C162:C166)</f>
        <v>7.1191308614214271E-2</v>
      </c>
      <c r="D161" s="297">
        <f t="shared" si="210"/>
        <v>7.1191308614214271E-2</v>
      </c>
      <c r="E161" s="297">
        <f t="shared" si="210"/>
        <v>7.1191308614214271E-2</v>
      </c>
      <c r="F161" s="391">
        <f t="shared" si="210"/>
        <v>7.1191308614214271E-2</v>
      </c>
      <c r="G161" s="391">
        <f t="shared" si="210"/>
        <v>7.1191308614214271E-2</v>
      </c>
      <c r="H161" s="297">
        <f t="shared" si="210"/>
        <v>7.1191308614214271E-2</v>
      </c>
      <c r="I161" s="297">
        <f t="shared" si="210"/>
        <v>7.1191308614214271E-2</v>
      </c>
      <c r="J161" s="297">
        <f t="shared" ref="J161" si="211">AVERAGE(J162:J166)</f>
        <v>7.1191308614214271E-2</v>
      </c>
      <c r="K161" s="297">
        <f t="shared" ref="K161" si="212">AVERAGE(K162:K166)</f>
        <v>7.1191308614214271E-2</v>
      </c>
    </row>
    <row r="162" spans="1:11" ht="15" hidden="1" customHeight="1" outlineLevel="1">
      <c r="A162">
        <v>0</v>
      </c>
      <c r="B162" s="297">
        <f>(B153-B152)/($A153-$A152)</f>
        <v>7.1191308614214271E-2</v>
      </c>
      <c r="C162" s="297">
        <f t="shared" ref="C162:I162" si="213">(C153-C152)/($A153-$A152)</f>
        <v>7.1191308614214271E-2</v>
      </c>
      <c r="D162" s="297">
        <f t="shared" si="213"/>
        <v>7.1191308614214271E-2</v>
      </c>
      <c r="E162" s="297">
        <f t="shared" si="213"/>
        <v>7.1191308614214271E-2</v>
      </c>
      <c r="F162" s="391">
        <f t="shared" si="213"/>
        <v>7.1191308614214271E-2</v>
      </c>
      <c r="G162" s="391">
        <f t="shared" si="213"/>
        <v>7.1191308614214271E-2</v>
      </c>
      <c r="H162" s="297">
        <f t="shared" si="213"/>
        <v>7.1191308614214271E-2</v>
      </c>
      <c r="I162" s="297">
        <f t="shared" si="213"/>
        <v>7.1191308614214271E-2</v>
      </c>
      <c r="J162" s="297">
        <f t="shared" ref="J162:K162" si="214">(J153-J152)/($A153-$A152)</f>
        <v>7.1191308614214271E-2</v>
      </c>
      <c r="K162" s="297">
        <f t="shared" si="214"/>
        <v>7.1191308614214271E-2</v>
      </c>
    </row>
    <row r="163" spans="1:11" ht="15" hidden="1" customHeight="1" outlineLevel="1">
      <c r="A163">
        <v>5</v>
      </c>
      <c r="B163" s="297">
        <f>(B154-B153)/($A154-$A153)</f>
        <v>7.1191308614214271E-2</v>
      </c>
      <c r="C163" s="297">
        <f t="shared" ref="C163:I163" si="215">(C154-C153)/($A154-$A153)</f>
        <v>7.1191308614214271E-2</v>
      </c>
      <c r="D163" s="297">
        <f t="shared" si="215"/>
        <v>7.1191308614214271E-2</v>
      </c>
      <c r="E163" s="297">
        <f t="shared" si="215"/>
        <v>7.1191308614214271E-2</v>
      </c>
      <c r="F163" s="391">
        <f t="shared" si="215"/>
        <v>7.1191308614214271E-2</v>
      </c>
      <c r="G163" s="391">
        <f t="shared" si="215"/>
        <v>7.1191308614214271E-2</v>
      </c>
      <c r="H163" s="297">
        <f t="shared" si="215"/>
        <v>7.1191308614214271E-2</v>
      </c>
      <c r="I163" s="297">
        <f t="shared" si="215"/>
        <v>7.1191308614214271E-2</v>
      </c>
      <c r="J163" s="297">
        <f t="shared" ref="J163:K163" si="216">(J154-J153)/($A154-$A153)</f>
        <v>7.1191308614214271E-2</v>
      </c>
      <c r="K163" s="297">
        <f t="shared" si="216"/>
        <v>7.1191308614214271E-2</v>
      </c>
    </row>
    <row r="164" spans="1:11" ht="15" hidden="1" customHeight="1" outlineLevel="1">
      <c r="A164">
        <v>10</v>
      </c>
      <c r="B164" s="297">
        <f>(B155-B154)/($A155-$A154)</f>
        <v>7.1191308614214271E-2</v>
      </c>
      <c r="C164" s="297">
        <f t="shared" ref="C164:I164" si="217">(C155-C154)/($A155-$A154)</f>
        <v>7.1191308614214271E-2</v>
      </c>
      <c r="D164" s="297">
        <f t="shared" si="217"/>
        <v>7.1191308614214271E-2</v>
      </c>
      <c r="E164" s="297">
        <f t="shared" si="217"/>
        <v>7.1191308614214271E-2</v>
      </c>
      <c r="F164" s="391">
        <f t="shared" si="217"/>
        <v>7.1191308614214271E-2</v>
      </c>
      <c r="G164" s="391">
        <f t="shared" si="217"/>
        <v>7.1191308614214271E-2</v>
      </c>
      <c r="H164" s="297">
        <f t="shared" si="217"/>
        <v>7.1191308614214271E-2</v>
      </c>
      <c r="I164" s="297">
        <f t="shared" si="217"/>
        <v>7.1191308614214271E-2</v>
      </c>
      <c r="J164" s="297">
        <f t="shared" ref="J164:K164" si="218">(J155-J154)/($A155-$A154)</f>
        <v>7.1191308614214271E-2</v>
      </c>
      <c r="K164" s="297">
        <f t="shared" si="218"/>
        <v>7.1191308614214271E-2</v>
      </c>
    </row>
    <row r="165" spans="1:11" ht="15" hidden="1" customHeight="1" outlineLevel="1">
      <c r="A165">
        <v>15</v>
      </c>
      <c r="B165" s="297">
        <f>(B156-B155)/($A156-$A155)</f>
        <v>7.1191308614214271E-2</v>
      </c>
      <c r="C165" s="297">
        <f t="shared" ref="C165:I165" si="219">(C156-C155)/($A156-$A155)</f>
        <v>7.1191308614214271E-2</v>
      </c>
      <c r="D165" s="297">
        <f t="shared" si="219"/>
        <v>7.1191308614214271E-2</v>
      </c>
      <c r="E165" s="297">
        <f t="shared" si="219"/>
        <v>7.1191308614214271E-2</v>
      </c>
      <c r="F165" s="391">
        <f t="shared" si="219"/>
        <v>7.1191308614214271E-2</v>
      </c>
      <c r="G165" s="391">
        <f t="shared" si="219"/>
        <v>7.1191308614214271E-2</v>
      </c>
      <c r="H165" s="297">
        <f t="shared" si="219"/>
        <v>7.1191308614214271E-2</v>
      </c>
      <c r="I165" s="297">
        <f t="shared" si="219"/>
        <v>7.1191308614214271E-2</v>
      </c>
      <c r="J165" s="297">
        <f t="shared" ref="J165:K165" si="220">(J156-J155)/($A156-$A155)</f>
        <v>7.1191308614214271E-2</v>
      </c>
      <c r="K165" s="297">
        <f t="shared" si="220"/>
        <v>7.1191308614214271E-2</v>
      </c>
    </row>
    <row r="166" spans="1:11" ht="15" hidden="1" customHeight="1" outlineLevel="1">
      <c r="A166">
        <v>20</v>
      </c>
      <c r="B166" s="297">
        <f>(B157-B156)/($A157-$A156)</f>
        <v>7.1191308614214271E-2</v>
      </c>
      <c r="C166" s="297">
        <f t="shared" ref="C166:I166" si="221">(C157-C156)/($A157-$A156)</f>
        <v>7.1191308614214271E-2</v>
      </c>
      <c r="D166" s="297">
        <f t="shared" si="221"/>
        <v>7.1191308614214271E-2</v>
      </c>
      <c r="E166" s="297">
        <f t="shared" si="221"/>
        <v>7.1191308614214271E-2</v>
      </c>
      <c r="F166" s="391">
        <f t="shared" si="221"/>
        <v>7.1191308614214271E-2</v>
      </c>
      <c r="G166" s="391">
        <f t="shared" si="221"/>
        <v>7.1191308614214271E-2</v>
      </c>
      <c r="H166" s="297">
        <f t="shared" si="221"/>
        <v>7.1191308614214271E-2</v>
      </c>
      <c r="I166" s="297">
        <f t="shared" si="221"/>
        <v>7.1191308614214271E-2</v>
      </c>
      <c r="J166" s="297">
        <f t="shared" ref="J166:K166" si="222">(J157-J156)/($A157-$A156)</f>
        <v>7.1191308614214271E-2</v>
      </c>
      <c r="K166" s="297">
        <f t="shared" si="222"/>
        <v>7.1191308614214271E-2</v>
      </c>
    </row>
    <row r="167" spans="1:11" ht="15" customHeight="1" collapsed="1">
      <c r="A167" s="222"/>
    </row>
    <row r="169" spans="1:11" ht="15" customHeight="1">
      <c r="A169" s="375" t="s">
        <v>580</v>
      </c>
    </row>
    <row r="170" spans="1:11" ht="15" customHeight="1">
      <c r="A170" t="s">
        <v>573</v>
      </c>
    </row>
    <row r="171" spans="1:11" ht="15" customHeight="1">
      <c r="A171">
        <v>0.06</v>
      </c>
      <c r="B171" s="297">
        <v>3.1E-2</v>
      </c>
      <c r="C171" s="297">
        <v>3.1E-2</v>
      </c>
      <c r="D171" s="297">
        <v>3.1E-2</v>
      </c>
      <c r="E171" s="297">
        <v>3.1E-2</v>
      </c>
      <c r="F171" s="391">
        <v>3.1E-2</v>
      </c>
      <c r="G171" s="391">
        <v>3.1E-2</v>
      </c>
      <c r="H171" s="297">
        <v>3.1E-2</v>
      </c>
      <c r="I171" s="297">
        <v>3.1E-2</v>
      </c>
      <c r="J171" s="297">
        <v>3.1E-2</v>
      </c>
      <c r="K171" s="297">
        <v>3.1E-2</v>
      </c>
    </row>
    <row r="172" spans="1:11" ht="15" customHeight="1">
      <c r="A172">
        <v>0.1</v>
      </c>
      <c r="B172" s="297">
        <v>3.1187903317670136E-2</v>
      </c>
      <c r="C172" s="297">
        <v>3.1187903317670136E-2</v>
      </c>
      <c r="D172" s="297">
        <v>3.1187903317670136E-2</v>
      </c>
      <c r="E172" s="297">
        <v>3.1187903317670136E-2</v>
      </c>
      <c r="F172" s="391">
        <v>3.1187903317670136E-2</v>
      </c>
      <c r="G172" s="391">
        <v>3.1187903317670136E-2</v>
      </c>
      <c r="H172" s="297">
        <v>3.1187903317670136E-2</v>
      </c>
      <c r="I172" s="297">
        <v>3.1187903317670136E-2</v>
      </c>
      <c r="J172" s="297">
        <v>3.1187903317670136E-2</v>
      </c>
      <c r="K172" s="297">
        <v>3.1187903317670136E-2</v>
      </c>
    </row>
    <row r="173" spans="1:11" ht="15" customHeight="1">
      <c r="A173">
        <v>0.3</v>
      </c>
      <c r="B173" s="297">
        <v>3.2529926377576811E-2</v>
      </c>
      <c r="C173" s="297">
        <v>3.2529926377576811E-2</v>
      </c>
      <c r="D173" s="297">
        <v>3.2529926377576811E-2</v>
      </c>
      <c r="E173" s="297">
        <v>3.2529926377576811E-2</v>
      </c>
      <c r="F173" s="391">
        <v>3.2529926377576811E-2</v>
      </c>
      <c r="G173" s="391">
        <v>3.2529926377576811E-2</v>
      </c>
      <c r="H173" s="297">
        <v>3.2529926377576811E-2</v>
      </c>
      <c r="I173" s="297">
        <v>3.2529926377576811E-2</v>
      </c>
      <c r="J173" s="297">
        <v>3.2529926377576811E-2</v>
      </c>
      <c r="K173" s="297">
        <v>3.2529926377576811E-2</v>
      </c>
    </row>
    <row r="174" spans="1:11" ht="15" customHeight="1">
      <c r="A174">
        <v>0.5</v>
      </c>
      <c r="B174" s="297">
        <v>3.5832172884505478E-2</v>
      </c>
      <c r="C174" s="297">
        <v>3.5832172884505478E-2</v>
      </c>
      <c r="D174" s="297">
        <v>3.5832172884505478E-2</v>
      </c>
      <c r="E174" s="297">
        <v>3.5832172884505478E-2</v>
      </c>
      <c r="F174" s="391">
        <v>3.5832172884505478E-2</v>
      </c>
      <c r="G174" s="391">
        <v>3.5832172884505478E-2</v>
      </c>
      <c r="H174" s="297">
        <v>3.5832172884505478E-2</v>
      </c>
      <c r="I174" s="297">
        <v>3.5832172884505478E-2</v>
      </c>
      <c r="J174" s="297">
        <v>3.5832172884505478E-2</v>
      </c>
      <c r="K174" s="297">
        <v>3.5832172884505478E-2</v>
      </c>
    </row>
    <row r="175" spans="1:11" ht="15" customHeight="1">
      <c r="A175">
        <v>0.7</v>
      </c>
      <c r="B175" s="297">
        <v>4.3452892234767379E-2</v>
      </c>
      <c r="C175" s="297">
        <v>4.3452892234767379E-2</v>
      </c>
      <c r="D175" s="297">
        <v>4.3452892234767379E-2</v>
      </c>
      <c r="E175" s="297">
        <v>4.3452892234767379E-2</v>
      </c>
      <c r="F175" s="391">
        <v>4.3452892234767379E-2</v>
      </c>
      <c r="G175" s="391">
        <v>4.3452892234767379E-2</v>
      </c>
      <c r="H175" s="297">
        <v>4.3452892234767379E-2</v>
      </c>
      <c r="I175" s="297">
        <v>4.3452892234767379E-2</v>
      </c>
      <c r="J175" s="297">
        <v>4.3452892234767379E-2</v>
      </c>
      <c r="K175" s="297">
        <v>4.3452892234767379E-2</v>
      </c>
    </row>
    <row r="176" spans="1:11" ht="15" customHeight="1">
      <c r="A176">
        <v>1</v>
      </c>
      <c r="B176" s="297">
        <v>7.1191308614214271E-2</v>
      </c>
      <c r="C176" s="297">
        <v>7.1191308614214271E-2</v>
      </c>
      <c r="D176" s="297">
        <v>7.1191308614214271E-2</v>
      </c>
      <c r="E176" s="297">
        <v>7.1191308614214271E-2</v>
      </c>
      <c r="F176" s="391">
        <v>7.1191308614214271E-2</v>
      </c>
      <c r="G176" s="391">
        <v>7.1191308614214271E-2</v>
      </c>
      <c r="H176" s="297">
        <v>7.1191308614214271E-2</v>
      </c>
      <c r="I176" s="297">
        <v>7.1191308614214271E-2</v>
      </c>
      <c r="J176" s="297">
        <v>7.1191308614214271E-2</v>
      </c>
      <c r="K176" s="297">
        <v>7.1191308614214271E-2</v>
      </c>
    </row>
    <row r="177" spans="1:11" ht="15" customHeight="1">
      <c r="A177">
        <v>1.5</v>
      </c>
      <c r="B177" s="297"/>
      <c r="C177" s="297"/>
      <c r="D177" s="297"/>
      <c r="E177" s="297"/>
      <c r="F177" s="391"/>
      <c r="G177" s="391"/>
      <c r="H177" s="297"/>
      <c r="I177" s="297"/>
      <c r="J177" s="297"/>
      <c r="K177" s="297"/>
    </row>
    <row r="178" spans="1:11" ht="15" customHeight="1">
      <c r="A178">
        <v>2</v>
      </c>
      <c r="B178" s="297"/>
      <c r="C178" s="297"/>
      <c r="D178" s="297"/>
      <c r="E178" s="297"/>
      <c r="F178" s="391"/>
      <c r="G178" s="391"/>
      <c r="H178" s="297"/>
      <c r="I178" s="297"/>
      <c r="J178" s="297"/>
      <c r="K178" s="297"/>
    </row>
    <row r="179" spans="1:11" ht="15" customHeight="1">
      <c r="A179">
        <v>3</v>
      </c>
      <c r="B179" s="297"/>
      <c r="C179" s="297"/>
      <c r="D179" s="297"/>
      <c r="E179" s="297"/>
      <c r="F179" s="391"/>
      <c r="G179" s="391"/>
      <c r="H179" s="297"/>
      <c r="I179" s="297"/>
      <c r="J179" s="297"/>
      <c r="K179" s="297"/>
    </row>
    <row r="180" spans="1:11" ht="15" customHeight="1">
      <c r="A180">
        <v>5</v>
      </c>
      <c r="B180" s="297"/>
      <c r="C180" s="297"/>
      <c r="D180" s="297"/>
      <c r="E180" s="297"/>
      <c r="F180" s="391"/>
      <c r="G180" s="391"/>
      <c r="H180" s="297"/>
      <c r="I180" s="297"/>
      <c r="J180" s="297"/>
      <c r="K180" s="297"/>
    </row>
  </sheetData>
  <scenarios current="1" show="0">
    <scenario name="AoA 0deg" locked="1" count="1" user="Leonardo Valadez Ortiz" comment="Created by Leonardo Valadez Ortiz on 08/07/2025_x000a_Modified by Leonardo Valadez Ortiz on 08/07/2025">
      <inputCells r="B9" val="0" numFmtId="165"/>
    </scenario>
    <scenario name="AoA 5deg" locked="1" count="1" user="Leonardo Valadez Ortiz" comment="Created by Leonardo Valadez Ortiz on 08/07/2025">
      <inputCells r="B9" val="5" numFmtId="165"/>
    </scenario>
  </scenarios>
  <pageMargins left="0.7" right="0.7" top="0.75" bottom="0.75" header="0.3" footer="0.3"/>
  <pageSetup orientation="portrait" r:id="rId1"/>
  <cellWatches>
    <cellWatch r="B6"/>
  </cellWatches>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M28"/>
  <sheetViews>
    <sheetView tabSelected="1" workbookViewId="0">
      <selection activeCell="G19" sqref="G19"/>
    </sheetView>
  </sheetViews>
  <sheetFormatPr defaultColWidth="9.125" defaultRowHeight="14.25"/>
  <cols>
    <col min="1" max="1" width="41.5" style="393" bestFit="1" customWidth="1"/>
    <col min="2" max="11" width="9.125" style="394"/>
  </cols>
  <sheetData>
    <row r="1" spans="1:13" ht="15">
      <c r="A1" s="392" t="s">
        <v>594</v>
      </c>
      <c r="B1" s="394">
        <v>0.06</v>
      </c>
      <c r="C1" s="394">
        <v>0.1</v>
      </c>
      <c r="D1" s="394">
        <v>0.3</v>
      </c>
      <c r="E1" s="394">
        <v>0.5</v>
      </c>
      <c r="F1" s="394">
        <v>0.7</v>
      </c>
      <c r="G1" s="394">
        <v>1</v>
      </c>
      <c r="H1" s="394">
        <v>1.5</v>
      </c>
      <c r="I1" s="394">
        <v>2</v>
      </c>
      <c r="J1" s="394">
        <v>3</v>
      </c>
      <c r="K1" s="394">
        <v>5</v>
      </c>
    </row>
    <row r="2" spans="1:13">
      <c r="A2" s="393" t="s">
        <v>592</v>
      </c>
      <c r="M2" t="s">
        <v>593</v>
      </c>
    </row>
    <row r="3" spans="1:13">
      <c r="A3" s="393" t="s">
        <v>589</v>
      </c>
      <c r="B3" s="395"/>
      <c r="C3" s="395"/>
      <c r="D3" s="395"/>
      <c r="E3" s="395"/>
      <c r="F3" s="395"/>
      <c r="G3" s="395"/>
      <c r="H3" s="395"/>
      <c r="I3" s="395"/>
    </row>
    <row r="4" spans="1:13">
      <c r="A4" s="393">
        <v>0</v>
      </c>
      <c r="B4" s="395"/>
      <c r="C4" s="395"/>
      <c r="D4" s="395"/>
      <c r="E4" s="395"/>
      <c r="F4" s="395"/>
      <c r="G4" s="395"/>
      <c r="H4" s="395"/>
      <c r="I4" s="395"/>
    </row>
    <row r="5" spans="1:13">
      <c r="A5" s="393">
        <v>5</v>
      </c>
      <c r="B5" s="395"/>
      <c r="C5" s="395"/>
      <c r="D5" s="395"/>
      <c r="E5" s="395"/>
      <c r="F5" s="395"/>
      <c r="G5" s="395"/>
      <c r="H5" s="395"/>
      <c r="I5" s="395"/>
    </row>
    <row r="6" spans="1:13">
      <c r="A6" s="393">
        <v>10</v>
      </c>
      <c r="B6" s="395"/>
      <c r="C6" s="395"/>
      <c r="D6" s="395"/>
      <c r="E6" s="395"/>
      <c r="F6" s="395"/>
      <c r="G6" s="395"/>
      <c r="H6" s="395"/>
      <c r="I6" s="395"/>
    </row>
    <row r="7" spans="1:13">
      <c r="A7" s="393">
        <v>15</v>
      </c>
      <c r="B7" s="395"/>
      <c r="C7" s="395"/>
      <c r="D7" s="395"/>
      <c r="E7" s="395"/>
      <c r="F7" s="395"/>
      <c r="G7" s="395"/>
      <c r="H7" s="395"/>
      <c r="I7" s="395"/>
    </row>
    <row r="8" spans="1:13">
      <c r="A8" s="393">
        <v>20</v>
      </c>
      <c r="B8" s="395"/>
      <c r="C8" s="395"/>
      <c r="D8" s="395"/>
      <c r="E8" s="395"/>
      <c r="F8" s="395"/>
      <c r="G8" s="395"/>
      <c r="H8" s="395"/>
      <c r="I8" s="395"/>
    </row>
    <row r="9" spans="1:13">
      <c r="A9" s="393">
        <v>25</v>
      </c>
      <c r="B9" s="395"/>
      <c r="C9" s="395"/>
      <c r="D9" s="395"/>
      <c r="E9" s="395"/>
      <c r="F9" s="395"/>
      <c r="G9" s="395"/>
      <c r="H9" s="395"/>
      <c r="I9" s="395"/>
    </row>
    <row r="10" spans="1:13">
      <c r="A10" s="393">
        <v>30</v>
      </c>
      <c r="B10" s="395"/>
      <c r="C10" s="395"/>
      <c r="D10" s="395"/>
      <c r="E10" s="395"/>
      <c r="F10" s="395"/>
      <c r="G10" s="395"/>
      <c r="H10" s="395"/>
      <c r="I10" s="395"/>
    </row>
    <row r="11" spans="1:13">
      <c r="A11" s="393" t="s">
        <v>590</v>
      </c>
      <c r="B11" s="395"/>
      <c r="C11" s="395"/>
      <c r="D11" s="395"/>
      <c r="E11" s="395"/>
      <c r="F11" s="395"/>
      <c r="G11" s="395"/>
      <c r="H11" s="395"/>
      <c r="I11" s="395"/>
    </row>
    <row r="12" spans="1:13">
      <c r="A12" s="393">
        <v>0</v>
      </c>
      <c r="B12" s="395"/>
      <c r="C12" s="395"/>
      <c r="D12" s="395"/>
      <c r="E12" s="395"/>
      <c r="F12" s="395"/>
      <c r="G12" s="395"/>
      <c r="H12" s="395"/>
      <c r="I12" s="395"/>
    </row>
    <row r="13" spans="1:13">
      <c r="A13" s="393">
        <v>5</v>
      </c>
      <c r="B13" s="395"/>
      <c r="C13" s="395"/>
      <c r="D13" s="395"/>
      <c r="E13" s="395"/>
      <c r="F13" s="395"/>
      <c r="G13" s="395"/>
      <c r="H13" s="395"/>
      <c r="I13" s="395"/>
    </row>
    <row r="14" spans="1:13">
      <c r="A14" s="393">
        <v>10</v>
      </c>
      <c r="B14" s="395"/>
      <c r="C14" s="395"/>
      <c r="D14" s="395"/>
      <c r="E14" s="395"/>
      <c r="F14" s="395"/>
      <c r="G14" s="395"/>
      <c r="H14" s="395"/>
      <c r="I14" s="395"/>
    </row>
    <row r="15" spans="1:13">
      <c r="A15" s="393">
        <v>15</v>
      </c>
      <c r="B15" s="395"/>
      <c r="C15" s="395"/>
      <c r="D15" s="395"/>
      <c r="E15" s="395"/>
      <c r="F15" s="395"/>
      <c r="G15" s="395"/>
      <c r="H15" s="395"/>
      <c r="I15" s="395"/>
    </row>
    <row r="16" spans="1:13">
      <c r="A16" s="393">
        <v>20</v>
      </c>
      <c r="B16" s="395"/>
      <c r="C16" s="395"/>
      <c r="D16" s="395"/>
      <c r="E16" s="395"/>
      <c r="F16" s="395"/>
      <c r="G16" s="395"/>
      <c r="H16" s="395"/>
      <c r="I16" s="395"/>
    </row>
    <row r="17" spans="1:9">
      <c r="A17" s="393">
        <v>25</v>
      </c>
      <c r="B17" s="395"/>
      <c r="C17" s="395"/>
      <c r="D17" s="395"/>
      <c r="E17" s="395"/>
      <c r="F17" s="395"/>
      <c r="G17" s="395"/>
      <c r="H17" s="395"/>
      <c r="I17" s="395"/>
    </row>
    <row r="18" spans="1:9">
      <c r="A18" s="393">
        <v>30</v>
      </c>
      <c r="B18" s="395"/>
      <c r="C18" s="395"/>
      <c r="D18" s="395"/>
      <c r="E18" s="395"/>
      <c r="F18" s="395"/>
      <c r="G18" s="395"/>
      <c r="H18" s="395"/>
      <c r="I18" s="395"/>
    </row>
    <row r="19" spans="1:9">
      <c r="A19" s="393" t="s">
        <v>591</v>
      </c>
      <c r="B19" s="395"/>
      <c r="C19" s="395"/>
      <c r="D19" s="395"/>
      <c r="E19" s="395"/>
      <c r="F19" s="395"/>
      <c r="G19" s="395"/>
      <c r="H19" s="395"/>
      <c r="I19" s="395"/>
    </row>
    <row r="20" spans="1:9">
      <c r="A20" s="393">
        <v>0</v>
      </c>
      <c r="B20" s="395"/>
      <c r="C20" s="395"/>
      <c r="D20" s="395"/>
      <c r="E20" s="395"/>
      <c r="F20" s="395"/>
      <c r="G20" s="395"/>
      <c r="H20" s="395"/>
      <c r="I20" s="395"/>
    </row>
    <row r="21" spans="1:9">
      <c r="A21" s="393">
        <v>5</v>
      </c>
      <c r="B21" s="395"/>
      <c r="C21" s="395"/>
      <c r="D21" s="395"/>
      <c r="E21" s="395"/>
      <c r="F21" s="395"/>
      <c r="G21" s="395"/>
      <c r="H21" s="395"/>
      <c r="I21" s="395"/>
    </row>
    <row r="22" spans="1:9">
      <c r="A22" s="393">
        <v>10</v>
      </c>
      <c r="B22" s="395"/>
      <c r="C22" s="395"/>
      <c r="D22" s="395"/>
      <c r="E22" s="395"/>
      <c r="F22" s="395"/>
      <c r="G22" s="395"/>
      <c r="H22" s="395"/>
      <c r="I22" s="395"/>
    </row>
    <row r="23" spans="1:9">
      <c r="A23" s="393">
        <v>15</v>
      </c>
      <c r="B23" s="395"/>
      <c r="C23" s="395"/>
      <c r="D23" s="395"/>
      <c r="E23" s="395"/>
      <c r="F23" s="395"/>
      <c r="G23" s="395"/>
      <c r="H23" s="395"/>
      <c r="I23" s="395"/>
    </row>
    <row r="24" spans="1:9">
      <c r="A24" s="393">
        <v>20</v>
      </c>
      <c r="B24" s="395"/>
      <c r="C24" s="395"/>
      <c r="D24" s="395"/>
      <c r="E24" s="395"/>
      <c r="F24" s="395"/>
      <c r="G24" s="395"/>
      <c r="H24" s="395"/>
      <c r="I24" s="395"/>
    </row>
    <row r="25" spans="1:9">
      <c r="A25" s="393">
        <v>25</v>
      </c>
      <c r="B25" s="395"/>
      <c r="C25" s="395"/>
      <c r="D25" s="395"/>
      <c r="E25" s="395"/>
      <c r="F25" s="395"/>
      <c r="G25" s="395"/>
      <c r="H25" s="395"/>
      <c r="I25" s="395"/>
    </row>
    <row r="26" spans="1:9">
      <c r="A26" s="393">
        <v>30</v>
      </c>
      <c r="B26" s="395"/>
      <c r="C26" s="395"/>
      <c r="D26" s="395"/>
      <c r="E26" s="395"/>
      <c r="F26" s="395"/>
      <c r="G26" s="395"/>
      <c r="H26" s="395"/>
      <c r="I26" s="395"/>
    </row>
    <row r="28" spans="1:9" ht="15">
      <c r="A28" s="392" t="s">
        <v>595</v>
      </c>
    </row>
  </sheetData>
  <pageMargins left="0.7" right="0.7" top="0.75" bottom="0.75" header="0.3" footer="0.3"/>
  <pageSetup orientation="portrait" r:id="rId1"/>
  <customProperties>
    <customPr name="DynardoMOPSolver" r:id="rId2"/>
  </customProperties>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2:G92"/>
  <sheetViews>
    <sheetView topLeftCell="A2" zoomScale="75" workbookViewId="0">
      <selection activeCell="G87" sqref="G87"/>
    </sheetView>
  </sheetViews>
  <sheetFormatPr defaultColWidth="9.125" defaultRowHeight="14.25"/>
  <cols>
    <col min="1" max="1" width="13" customWidth="1"/>
    <col min="2" max="2" width="11.125" customWidth="1"/>
  </cols>
  <sheetData>
    <row r="2" spans="1:5" ht="45">
      <c r="A2" s="219" t="s">
        <v>394</v>
      </c>
    </row>
    <row r="4" spans="1:5">
      <c r="A4" s="218" t="s">
        <v>395</v>
      </c>
    </row>
    <row r="5" spans="1:5">
      <c r="B5" s="362"/>
      <c r="C5" s="362"/>
      <c r="D5" s="362"/>
      <c r="E5" s="362"/>
    </row>
    <row r="6" spans="1:5">
      <c r="A6" t="s">
        <v>396</v>
      </c>
      <c r="B6">
        <v>1.5</v>
      </c>
      <c r="C6">
        <v>3</v>
      </c>
      <c r="D6">
        <v>5</v>
      </c>
      <c r="E6">
        <v>7</v>
      </c>
    </row>
    <row r="7" spans="1:5">
      <c r="A7">
        <v>0</v>
      </c>
      <c r="B7">
        <v>2</v>
      </c>
      <c r="C7">
        <v>2</v>
      </c>
      <c r="D7">
        <v>2</v>
      </c>
      <c r="E7">
        <v>2</v>
      </c>
    </row>
    <row r="8" spans="1:5">
      <c r="A8">
        <v>0.3</v>
      </c>
      <c r="B8">
        <v>2.0099999999999998</v>
      </c>
      <c r="C8">
        <v>2.0099999999999998</v>
      </c>
      <c r="D8">
        <v>2.0099999999999998</v>
      </c>
      <c r="E8">
        <v>2.0099999999999998</v>
      </c>
    </row>
    <row r="9" spans="1:5">
      <c r="A9">
        <v>0.4</v>
      </c>
      <c r="B9">
        <v>2.02</v>
      </c>
      <c r="C9">
        <v>2.02</v>
      </c>
      <c r="D9">
        <v>2.02</v>
      </c>
      <c r="E9">
        <v>2.02</v>
      </c>
    </row>
    <row r="10" spans="1:5">
      <c r="A10">
        <v>0.5</v>
      </c>
      <c r="B10">
        <v>2.0299999999999998</v>
      </c>
      <c r="C10">
        <v>2.0299999999999998</v>
      </c>
      <c r="D10">
        <v>2.0299999999999998</v>
      </c>
      <c r="E10">
        <v>2.0299999999999998</v>
      </c>
    </row>
    <row r="11" spans="1:5">
      <c r="A11">
        <v>0.6</v>
      </c>
      <c r="B11">
        <v>2.0499999999999998</v>
      </c>
      <c r="C11">
        <v>2.0499999999999998</v>
      </c>
      <c r="D11">
        <v>2.0499999999999998</v>
      </c>
      <c r="E11">
        <v>2.0499999999999998</v>
      </c>
    </row>
    <row r="12" spans="1:5">
      <c r="A12">
        <v>0.7</v>
      </c>
      <c r="B12">
        <v>2.06</v>
      </c>
      <c r="C12">
        <v>2.06</v>
      </c>
      <c r="D12">
        <v>2.06</v>
      </c>
      <c r="E12">
        <v>2.06</v>
      </c>
    </row>
    <row r="13" spans="1:5">
      <c r="A13">
        <v>0.8</v>
      </c>
      <c r="B13">
        <v>2.1</v>
      </c>
      <c r="C13">
        <v>2.1</v>
      </c>
      <c r="D13">
        <v>2.1</v>
      </c>
      <c r="E13">
        <v>2.1</v>
      </c>
    </row>
    <row r="14" spans="1:5">
      <c r="A14">
        <v>0.9</v>
      </c>
      <c r="B14">
        <v>2.16</v>
      </c>
      <c r="C14">
        <v>2.16</v>
      </c>
      <c r="D14">
        <v>2.16</v>
      </c>
      <c r="E14">
        <v>2.16</v>
      </c>
    </row>
    <row r="15" spans="1:5">
      <c r="A15">
        <v>1</v>
      </c>
      <c r="B15">
        <v>2.2999999999999998</v>
      </c>
      <c r="C15">
        <v>2.2999999999999998</v>
      </c>
      <c r="D15">
        <v>2.2999999999999998</v>
      </c>
      <c r="E15">
        <v>2.2999999999999998</v>
      </c>
    </row>
    <row r="16" spans="1:5">
      <c r="A16">
        <v>1.05</v>
      </c>
      <c r="B16">
        <v>2.36</v>
      </c>
      <c r="C16">
        <v>2.36</v>
      </c>
      <c r="D16">
        <v>2.36</v>
      </c>
      <c r="E16">
        <v>2.36</v>
      </c>
    </row>
    <row r="17" spans="1:5">
      <c r="A17">
        <v>1.1000000000000001</v>
      </c>
      <c r="B17">
        <v>2.4</v>
      </c>
      <c r="C17">
        <v>2.4</v>
      </c>
      <c r="D17">
        <v>2.4</v>
      </c>
      <c r="E17">
        <v>2.4</v>
      </c>
    </row>
    <row r="18" spans="1:5">
      <c r="A18">
        <v>1.1499999999999999</v>
      </c>
      <c r="B18">
        <v>2.38</v>
      </c>
      <c r="C18">
        <v>2.37</v>
      </c>
      <c r="D18">
        <v>2.37</v>
      </c>
      <c r="E18">
        <v>2.38</v>
      </c>
    </row>
    <row r="19" spans="1:5">
      <c r="A19">
        <v>1.2</v>
      </c>
      <c r="B19">
        <v>2.37</v>
      </c>
      <c r="C19">
        <v>2.3199999999999998</v>
      </c>
      <c r="D19">
        <v>2.2999999999999998</v>
      </c>
      <c r="E19">
        <v>2.2999999999999998</v>
      </c>
    </row>
    <row r="20" spans="1:5">
      <c r="A20">
        <v>1.3</v>
      </c>
      <c r="B20">
        <v>2.35</v>
      </c>
      <c r="C20">
        <v>2.27</v>
      </c>
      <c r="D20">
        <v>2.21</v>
      </c>
      <c r="E20">
        <v>2.21</v>
      </c>
    </row>
    <row r="21" spans="1:5">
      <c r="A21">
        <v>1.4</v>
      </c>
      <c r="B21">
        <v>2.35</v>
      </c>
      <c r="C21">
        <v>2.25</v>
      </c>
      <c r="D21">
        <v>2.16</v>
      </c>
      <c r="E21">
        <v>2.13</v>
      </c>
    </row>
    <row r="22" spans="1:5">
      <c r="A22">
        <v>1.5</v>
      </c>
      <c r="B22">
        <v>2.35</v>
      </c>
      <c r="C22">
        <v>2.2400000000000002</v>
      </c>
      <c r="D22">
        <v>2.12</v>
      </c>
      <c r="E22">
        <v>2.08</v>
      </c>
    </row>
    <row r="23" spans="1:5">
      <c r="A23">
        <v>1.75</v>
      </c>
      <c r="B23">
        <v>2.37</v>
      </c>
      <c r="C23">
        <v>2.2599999999999998</v>
      </c>
      <c r="D23">
        <v>2.08</v>
      </c>
      <c r="E23">
        <v>2.0299999999999998</v>
      </c>
    </row>
    <row r="24" spans="1:5">
      <c r="A24">
        <v>2</v>
      </c>
      <c r="B24">
        <v>2.4</v>
      </c>
      <c r="C24">
        <v>2.31</v>
      </c>
      <c r="D24">
        <v>2.08</v>
      </c>
      <c r="E24">
        <v>2.0099999999999998</v>
      </c>
    </row>
    <row r="25" spans="1:5">
      <c r="A25">
        <v>2.25</v>
      </c>
      <c r="B25">
        <v>2.42</v>
      </c>
      <c r="C25">
        <v>2.36</v>
      </c>
      <c r="D25">
        <v>2.12</v>
      </c>
      <c r="E25">
        <v>2.0299999999999998</v>
      </c>
    </row>
    <row r="26" spans="1:5">
      <c r="A26">
        <v>2.5</v>
      </c>
      <c r="B26">
        <v>2.4500000000000002</v>
      </c>
      <c r="C26">
        <v>2.4</v>
      </c>
      <c r="D26">
        <v>2.15</v>
      </c>
      <c r="E26">
        <v>2.06</v>
      </c>
    </row>
    <row r="27" spans="1:5">
      <c r="A27">
        <v>3</v>
      </c>
      <c r="B27">
        <v>2.48</v>
      </c>
      <c r="C27">
        <v>2.4900000000000002</v>
      </c>
      <c r="D27">
        <v>2.2200000000000002</v>
      </c>
      <c r="E27">
        <v>2.1</v>
      </c>
    </row>
    <row r="28" spans="1:5">
      <c r="A28">
        <v>3.5</v>
      </c>
      <c r="B28">
        <v>2.5099999999999998</v>
      </c>
      <c r="C28">
        <v>2.57</v>
      </c>
      <c r="D28">
        <v>2.2799999999999998</v>
      </c>
      <c r="E28">
        <v>2.14</v>
      </c>
    </row>
    <row r="29" spans="1:5">
      <c r="A29">
        <v>4</v>
      </c>
      <c r="B29">
        <v>2.5299999999999998</v>
      </c>
      <c r="C29">
        <v>2.63</v>
      </c>
      <c r="D29">
        <v>2.34</v>
      </c>
      <c r="E29">
        <v>2.1800000000000002</v>
      </c>
    </row>
    <row r="30" spans="1:5">
      <c r="A30">
        <v>4.5</v>
      </c>
      <c r="B30">
        <v>2.56</v>
      </c>
      <c r="C30">
        <v>2.67</v>
      </c>
      <c r="D30">
        <v>2.39</v>
      </c>
      <c r="E30">
        <v>2.21</v>
      </c>
    </row>
    <row r="31" spans="1:5">
      <c r="A31">
        <v>5</v>
      </c>
      <c r="B31">
        <v>2.57</v>
      </c>
      <c r="C31">
        <v>2.7</v>
      </c>
      <c r="D31">
        <v>2.4300000000000002</v>
      </c>
      <c r="E31">
        <v>2.2400000000000002</v>
      </c>
    </row>
    <row r="33" spans="1:7">
      <c r="A33" s="218" t="s">
        <v>80</v>
      </c>
    </row>
    <row r="34" spans="1:7">
      <c r="B34" t="s">
        <v>397</v>
      </c>
    </row>
    <row r="35" spans="1:7">
      <c r="A35" t="s">
        <v>396</v>
      </c>
      <c r="B35">
        <v>1.5</v>
      </c>
      <c r="C35">
        <v>2</v>
      </c>
      <c r="D35">
        <v>3</v>
      </c>
      <c r="E35">
        <v>5</v>
      </c>
      <c r="F35">
        <v>6</v>
      </c>
      <c r="G35">
        <v>7</v>
      </c>
    </row>
    <row r="36" spans="1:7">
      <c r="A36">
        <v>0</v>
      </c>
      <c r="B36">
        <v>0.46600000000000003</v>
      </c>
      <c r="C36">
        <v>0.46600000000000003</v>
      </c>
      <c r="D36">
        <v>0.46600000000000003</v>
      </c>
      <c r="E36">
        <v>0.46600000000000003</v>
      </c>
      <c r="F36">
        <v>0.46600000000000003</v>
      </c>
      <c r="G36">
        <v>0.46600000000000003</v>
      </c>
    </row>
    <row r="37" spans="1:7">
      <c r="A37">
        <v>1</v>
      </c>
      <c r="B37">
        <v>0.46600000000000003</v>
      </c>
      <c r="C37">
        <v>0.46600000000000003</v>
      </c>
      <c r="D37">
        <v>0.46600000000000003</v>
      </c>
      <c r="E37">
        <v>0.46600000000000003</v>
      </c>
      <c r="F37">
        <v>0.46600000000000003</v>
      </c>
      <c r="G37">
        <v>0.46600000000000003</v>
      </c>
    </row>
    <row r="38" spans="1:7">
      <c r="A38">
        <v>2</v>
      </c>
      <c r="B38">
        <v>0.75</v>
      </c>
      <c r="C38">
        <v>1.02</v>
      </c>
      <c r="D38">
        <v>1.59</v>
      </c>
      <c r="E38">
        <v>2.1</v>
      </c>
      <c r="F38">
        <v>3.02</v>
      </c>
      <c r="G38">
        <v>3.35</v>
      </c>
    </row>
    <row r="39" spans="1:7">
      <c r="A39">
        <v>3</v>
      </c>
      <c r="B39">
        <v>0.93</v>
      </c>
      <c r="C39">
        <v>1.25</v>
      </c>
      <c r="D39">
        <v>1.84</v>
      </c>
      <c r="E39">
        <v>2.4</v>
      </c>
      <c r="F39">
        <v>3.23</v>
      </c>
      <c r="G39">
        <v>3.43</v>
      </c>
    </row>
    <row r="40" spans="1:7">
      <c r="A40">
        <v>4</v>
      </c>
      <c r="B40">
        <v>1.2</v>
      </c>
      <c r="C40">
        <v>1.52</v>
      </c>
      <c r="D40">
        <v>2.08</v>
      </c>
      <c r="E40">
        <v>2.6</v>
      </c>
      <c r="F40">
        <v>3.43</v>
      </c>
      <c r="G40">
        <v>3.74</v>
      </c>
    </row>
    <row r="41" spans="1:7">
      <c r="A41">
        <v>5</v>
      </c>
      <c r="B41">
        <v>1.35</v>
      </c>
      <c r="C41">
        <v>1.62</v>
      </c>
      <c r="D41">
        <v>2.12</v>
      </c>
      <c r="E41">
        <v>2.6</v>
      </c>
      <c r="F41">
        <v>3.43</v>
      </c>
      <c r="G41">
        <v>3.74</v>
      </c>
    </row>
    <row r="43" spans="1:7">
      <c r="A43" t="s">
        <v>398</v>
      </c>
      <c r="B43">
        <f>1.5*B44</f>
        <v>7.5</v>
      </c>
    </row>
    <row r="44" spans="1:7">
      <c r="A44" t="s">
        <v>399</v>
      </c>
      <c r="B44">
        <v>5</v>
      </c>
      <c r="C44" t="s">
        <v>203</v>
      </c>
    </row>
    <row r="45" spans="1:7">
      <c r="B45">
        <f>B37*B35</f>
        <v>0.69900000000000007</v>
      </c>
      <c r="C45" t="s">
        <v>400</v>
      </c>
    </row>
    <row r="46" spans="1:7">
      <c r="B46">
        <f>B45*B44</f>
        <v>3.4950000000000001</v>
      </c>
      <c r="C46" t="s">
        <v>203</v>
      </c>
    </row>
    <row r="50" spans="1:3" ht="30">
      <c r="A50" s="219" t="s">
        <v>401</v>
      </c>
    </row>
    <row r="58" spans="1:3">
      <c r="A58" t="s">
        <v>402</v>
      </c>
    </row>
    <row r="59" spans="1:3">
      <c r="A59" t="s">
        <v>84</v>
      </c>
      <c r="B59" t="s">
        <v>403</v>
      </c>
      <c r="C59" t="s">
        <v>404</v>
      </c>
    </row>
    <row r="60" spans="1:3">
      <c r="A60">
        <v>0</v>
      </c>
      <c r="B60">
        <v>0</v>
      </c>
      <c r="C60" s="126">
        <v>1E-3</v>
      </c>
    </row>
    <row r="61" spans="1:3">
      <c r="A61">
        <v>5</v>
      </c>
      <c r="B61">
        <v>5.0000000000000001E-3</v>
      </c>
      <c r="C61" s="126">
        <f t="shared" ref="C61:C66" si="0">(B61-B60)/(A61)</f>
        <v>1E-3</v>
      </c>
    </row>
    <row r="62" spans="1:3">
      <c r="A62">
        <v>10</v>
      </c>
      <c r="B62">
        <v>1.4999999999999999E-2</v>
      </c>
      <c r="C62" s="126">
        <f t="shared" si="0"/>
        <v>9.999999999999998E-4</v>
      </c>
    </row>
    <row r="63" spans="1:3">
      <c r="A63">
        <v>15</v>
      </c>
      <c r="B63">
        <v>3.5000000000000003E-2</v>
      </c>
      <c r="C63" s="126">
        <f t="shared" si="0"/>
        <v>1.3333333333333335E-3</v>
      </c>
    </row>
    <row r="64" spans="1:3">
      <c r="A64">
        <v>20</v>
      </c>
      <c r="B64">
        <v>6.5000000000000002E-2</v>
      </c>
      <c r="C64" s="126">
        <f t="shared" si="0"/>
        <v>1.5E-3</v>
      </c>
    </row>
    <row r="65" spans="1:3">
      <c r="A65">
        <v>25</v>
      </c>
      <c r="B65">
        <v>0.11</v>
      </c>
      <c r="C65" s="126">
        <f t="shared" si="0"/>
        <v>1.8E-3</v>
      </c>
    </row>
    <row r="66" spans="1:3">
      <c r="A66">
        <v>30</v>
      </c>
      <c r="B66">
        <v>0.17499999999999999</v>
      </c>
      <c r="C66" s="126">
        <f t="shared" si="0"/>
        <v>2.1666666666666661E-3</v>
      </c>
    </row>
    <row r="67" spans="1:3">
      <c r="B67" t="s">
        <v>405</v>
      </c>
      <c r="C67" s="126">
        <f>AVERAGE(C60:C66)</f>
        <v>1.3999999999999998E-3</v>
      </c>
    </row>
    <row r="69" spans="1:3">
      <c r="A69" t="s">
        <v>406</v>
      </c>
    </row>
    <row r="70" spans="1:3">
      <c r="A70" t="s">
        <v>407</v>
      </c>
      <c r="B70" t="s">
        <v>408</v>
      </c>
    </row>
    <row r="71" spans="1:3">
      <c r="A71">
        <v>0</v>
      </c>
      <c r="B71">
        <v>6.3E-2</v>
      </c>
    </row>
    <row r="72" spans="1:3">
      <c r="A72">
        <v>0.5</v>
      </c>
      <c r="B72">
        <v>6.8000000000000005E-2</v>
      </c>
    </row>
    <row r="73" spans="1:3">
      <c r="A73">
        <v>0.7</v>
      </c>
      <c r="B73">
        <v>6.9000000000000006E-2</v>
      </c>
    </row>
    <row r="74" spans="1:3">
      <c r="A74">
        <v>0.8</v>
      </c>
      <c r="B74">
        <v>6.9000000000000006E-2</v>
      </c>
    </row>
    <row r="75" spans="1:3">
      <c r="A75">
        <v>0.9</v>
      </c>
      <c r="B75">
        <v>6.7000000000000004E-2</v>
      </c>
    </row>
    <row r="76" spans="1:3">
      <c r="A76">
        <v>1</v>
      </c>
      <c r="B76">
        <v>6.6000000000000003E-2</v>
      </c>
    </row>
    <row r="77" spans="1:3">
      <c r="A77">
        <v>1.2</v>
      </c>
      <c r="B77">
        <v>6.3E-2</v>
      </c>
    </row>
    <row r="78" spans="1:3">
      <c r="A78">
        <v>1.5</v>
      </c>
      <c r="B78">
        <v>5.7000000000000002E-2</v>
      </c>
    </row>
    <row r="79" spans="1:3">
      <c r="A79">
        <v>2</v>
      </c>
      <c r="B79">
        <v>0.06</v>
      </c>
    </row>
    <row r="80" spans="1:3">
      <c r="A80">
        <v>2.5</v>
      </c>
      <c r="B80">
        <v>6.6000000000000003E-2</v>
      </c>
    </row>
    <row r="81" spans="1:2">
      <c r="A81">
        <v>3</v>
      </c>
      <c r="B81">
        <v>7.6999999999999999E-2</v>
      </c>
    </row>
    <row r="82" spans="1:2">
      <c r="A82">
        <v>3.5</v>
      </c>
      <c r="B82">
        <v>9.1999999999999998E-2</v>
      </c>
    </row>
    <row r="83" spans="1:2">
      <c r="A83">
        <v>4</v>
      </c>
      <c r="B83">
        <v>0.115</v>
      </c>
    </row>
    <row r="85" spans="1:2">
      <c r="A85" t="s">
        <v>409</v>
      </c>
      <c r="B85" t="s">
        <v>410</v>
      </c>
    </row>
    <row r="89" spans="1:2">
      <c r="A89" t="s">
        <v>411</v>
      </c>
      <c r="B89" t="s">
        <v>412</v>
      </c>
    </row>
    <row r="90" spans="1:2">
      <c r="A90" t="s">
        <v>413</v>
      </c>
      <c r="B90" t="s">
        <v>414</v>
      </c>
    </row>
    <row r="91" spans="1:2">
      <c r="A91" t="s">
        <v>415</v>
      </c>
      <c r="B91" t="s">
        <v>416</v>
      </c>
    </row>
    <row r="92" spans="1:2">
      <c r="A92" t="s">
        <v>417</v>
      </c>
      <c r="B92" t="s">
        <v>418</v>
      </c>
    </row>
  </sheetData>
  <mergeCells count="1">
    <mergeCell ref="B5:E5"/>
  </mergeCells>
  <pageMargins left="0.7" right="0.7" top="0.75" bottom="0.75" header="0.3" footer="0.3"/>
  <pageSetup orientation="portrait" r:id="rId1"/>
  <customProperties>
    <customPr name="DynardoMOPSolver" r:id="rId2"/>
  </customProperties>
  <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AF67"/>
  <sheetViews>
    <sheetView topLeftCell="A49" zoomScale="66" zoomScaleNormal="85" workbookViewId="0">
      <selection activeCell="E62" sqref="E62"/>
    </sheetView>
  </sheetViews>
  <sheetFormatPr defaultColWidth="8.875" defaultRowHeight="14.25"/>
  <cols>
    <col min="1" max="1" width="2.375" style="13" customWidth="1"/>
    <col min="2" max="2" width="15" style="1" customWidth="1"/>
    <col min="3" max="3" width="10.125" style="1" customWidth="1"/>
    <col min="4" max="4" width="8.875" style="1" customWidth="1"/>
    <col min="5" max="5" width="14.125" style="13" bestFit="1" customWidth="1"/>
    <col min="6" max="6" width="9.25" style="13" customWidth="1"/>
    <col min="7" max="7" width="5.625" style="13" bestFit="1" customWidth="1"/>
    <col min="8" max="8" width="1.625" style="63" customWidth="1"/>
    <col min="9" max="9" width="3.75" style="13" customWidth="1"/>
    <col min="10" max="10" width="18.25" style="13" bestFit="1" customWidth="1"/>
    <col min="11" max="11" width="28.375" style="13" bestFit="1" customWidth="1"/>
    <col min="12" max="12" width="26.125" style="13" bestFit="1" customWidth="1"/>
    <col min="13" max="13" width="21.25" style="13" customWidth="1"/>
    <col min="14" max="14" width="10.25" style="13" customWidth="1"/>
    <col min="15" max="15" width="16.625" style="13" customWidth="1"/>
    <col min="16" max="16" width="17" style="13" bestFit="1" customWidth="1"/>
    <col min="17" max="17" width="10.375" style="13" customWidth="1"/>
    <col min="18" max="18" width="14.25" style="13" customWidth="1"/>
    <col min="19" max="20" width="8.75" style="13" bestFit="1" customWidth="1"/>
    <col min="21" max="21" width="13" style="13" bestFit="1" customWidth="1"/>
    <col min="22" max="23" width="15.75" style="13" bestFit="1" customWidth="1"/>
    <col min="24" max="24" width="16.25" style="13" bestFit="1" customWidth="1"/>
    <col min="25" max="25" width="17.625" style="13" bestFit="1" customWidth="1"/>
    <col min="26" max="26" width="16.25" style="13" bestFit="1" customWidth="1"/>
    <col min="27" max="27" width="15" style="13" bestFit="1" customWidth="1"/>
    <col min="28" max="16384" width="8.875" style="13"/>
  </cols>
  <sheetData>
    <row r="1" spans="1:27" ht="15" thickBot="1"/>
    <row r="2" spans="1:27" ht="15" thickBot="1">
      <c r="A2" s="20"/>
      <c r="B2" s="363" t="s">
        <v>419</v>
      </c>
      <c r="C2" s="364"/>
      <c r="D2" s="364"/>
      <c r="E2" s="364"/>
      <c r="F2" s="365"/>
      <c r="G2" s="20"/>
    </row>
    <row r="3" spans="1:27" ht="14.45" customHeight="1" thickBot="1">
      <c r="A3" s="20"/>
      <c r="B3" s="370" t="s">
        <v>420</v>
      </c>
      <c r="C3" s="374"/>
      <c r="D3" s="374"/>
      <c r="E3" s="372"/>
      <c r="F3" s="373"/>
      <c r="G3" s="20"/>
      <c r="J3" s="127" t="s">
        <v>421</v>
      </c>
      <c r="K3" t="s">
        <v>422</v>
      </c>
      <c r="L3" t="s">
        <v>423</v>
      </c>
      <c r="M3"/>
      <c r="N3"/>
      <c r="O3"/>
      <c r="P3"/>
      <c r="Q3"/>
      <c r="R3"/>
      <c r="S3"/>
      <c r="T3"/>
      <c r="U3"/>
      <c r="V3"/>
      <c r="W3"/>
      <c r="X3"/>
      <c r="Y3"/>
      <c r="Z3"/>
      <c r="AA3"/>
    </row>
    <row r="4" spans="1:27">
      <c r="A4" s="20"/>
      <c r="B4" s="84" t="s">
        <v>424</v>
      </c>
      <c r="C4" s="27">
        <v>100</v>
      </c>
      <c r="D4" s="369" t="s">
        <v>116</v>
      </c>
      <c r="E4" s="27">
        <f>C4*(3600/1000)</f>
        <v>360</v>
      </c>
      <c r="F4" s="369" t="s">
        <v>425</v>
      </c>
      <c r="G4" s="20"/>
      <c r="J4" s="128">
        <v>3.5714285714285713E-3</v>
      </c>
      <c r="K4" s="126">
        <v>0</v>
      </c>
      <c r="L4" s="126">
        <v>0</v>
      </c>
      <c r="M4"/>
      <c r="N4"/>
      <c r="O4"/>
      <c r="P4"/>
      <c r="Q4"/>
      <c r="R4"/>
      <c r="S4"/>
      <c r="T4"/>
      <c r="U4"/>
      <c r="V4"/>
      <c r="W4"/>
      <c r="X4"/>
      <c r="Y4"/>
      <c r="Z4"/>
      <c r="AA4"/>
    </row>
    <row r="5" spans="1:27">
      <c r="A5" s="20"/>
      <c r="B5" s="85" t="s">
        <v>426</v>
      </c>
      <c r="C5" s="20">
        <v>10</v>
      </c>
      <c r="D5" s="367"/>
      <c r="E5" s="20">
        <f>C5*(3600/1000)</f>
        <v>36</v>
      </c>
      <c r="F5" s="367"/>
      <c r="G5" s="20"/>
      <c r="J5" s="128">
        <v>1.0714285714285714E-2</v>
      </c>
      <c r="K5" s="126">
        <v>0</v>
      </c>
      <c r="L5" s="126">
        <v>0</v>
      </c>
      <c r="M5"/>
      <c r="N5"/>
      <c r="O5"/>
      <c r="P5"/>
      <c r="Q5"/>
      <c r="R5"/>
      <c r="S5"/>
      <c r="T5"/>
      <c r="U5"/>
      <c r="V5"/>
      <c r="W5"/>
      <c r="X5"/>
      <c r="Y5"/>
      <c r="Z5"/>
      <c r="AA5"/>
    </row>
    <row r="6" spans="1:27" ht="15" thickBot="1">
      <c r="A6" s="20"/>
      <c r="B6" s="86" t="s">
        <v>427</v>
      </c>
      <c r="C6" s="24">
        <v>4</v>
      </c>
      <c r="D6" s="368"/>
      <c r="E6" s="24">
        <f>C6*(3600/1000)</f>
        <v>14.4</v>
      </c>
      <c r="F6" s="368"/>
      <c r="G6" s="20"/>
      <c r="J6" s="128">
        <v>1.7857142857142856E-2</v>
      </c>
      <c r="K6" s="126">
        <v>0</v>
      </c>
      <c r="L6" s="126">
        <v>0</v>
      </c>
      <c r="M6"/>
    </row>
    <row r="7" spans="1:27" ht="15" thickBot="1">
      <c r="A7" s="20"/>
      <c r="B7" s="370" t="s">
        <v>428</v>
      </c>
      <c r="C7" s="371"/>
      <c r="D7" s="371"/>
      <c r="E7" s="372"/>
      <c r="F7" s="373"/>
      <c r="G7" s="20"/>
      <c r="J7" s="128">
        <v>2.4999999999999998E-2</v>
      </c>
      <c r="K7" s="126">
        <v>0</v>
      </c>
      <c r="L7" s="126">
        <v>0</v>
      </c>
      <c r="M7"/>
    </row>
    <row r="8" spans="1:27">
      <c r="A8" s="20"/>
      <c r="B8" s="84" t="s">
        <v>429</v>
      </c>
      <c r="C8" s="27"/>
      <c r="D8" s="369" t="s">
        <v>430</v>
      </c>
      <c r="E8" s="27"/>
      <c r="F8" s="369" t="s">
        <v>201</v>
      </c>
      <c r="G8" s="20"/>
      <c r="J8" s="128">
        <v>3.214285714285714E-2</v>
      </c>
      <c r="K8" s="126">
        <v>0</v>
      </c>
      <c r="L8" s="126">
        <v>0</v>
      </c>
      <c r="M8"/>
    </row>
    <row r="9" spans="1:27">
      <c r="A9" s="20"/>
      <c r="B9" s="85" t="s">
        <v>431</v>
      </c>
      <c r="C9" s="20"/>
      <c r="D9" s="367"/>
      <c r="E9" s="20"/>
      <c r="F9" s="367"/>
      <c r="G9" s="20"/>
      <c r="J9" s="128">
        <v>3.9285714285714285E-2</v>
      </c>
      <c r="K9" s="126">
        <v>0</v>
      </c>
      <c r="L9" s="126">
        <v>0</v>
      </c>
      <c r="M9"/>
    </row>
    <row r="10" spans="1:27" ht="15" thickBot="1">
      <c r="A10" s="20"/>
      <c r="B10" s="85" t="s">
        <v>432</v>
      </c>
      <c r="C10" s="24"/>
      <c r="D10" s="368"/>
      <c r="E10" s="24"/>
      <c r="F10" s="367"/>
      <c r="G10" s="20"/>
      <c r="J10" s="128">
        <v>4.642857142857143E-2</v>
      </c>
      <c r="K10" s="126">
        <v>1.0149812527815203</v>
      </c>
      <c r="L10" s="126">
        <v>1.2936505973753243</v>
      </c>
      <c r="M10"/>
    </row>
    <row r="11" spans="1:27">
      <c r="A11" s="20"/>
      <c r="B11" s="105" t="s">
        <v>78</v>
      </c>
      <c r="C11" s="66" t="e">
        <f>SQRT(C4^2+C6^2+C5^2)/$C$14</f>
        <v>#DIV/0!</v>
      </c>
      <c r="D11" s="112" t="s">
        <v>201</v>
      </c>
      <c r="E11" s="66"/>
      <c r="F11" s="69" t="s">
        <v>201</v>
      </c>
      <c r="G11" s="20"/>
      <c r="J11" s="128">
        <v>5.3571428571428575E-2</v>
      </c>
      <c r="K11" s="126">
        <v>0.97517806639793125</v>
      </c>
      <c r="L11" s="126">
        <v>1.2429192013998214</v>
      </c>
      <c r="M11"/>
    </row>
    <row r="12" spans="1:27">
      <c r="A12" s="20"/>
      <c r="B12" s="115" t="s">
        <v>433</v>
      </c>
      <c r="C12" s="116">
        <f>Statistics!C10</f>
        <v>9.8000000000000007</v>
      </c>
      <c r="D12" s="117" t="s">
        <v>302</v>
      </c>
      <c r="E12" s="116"/>
      <c r="F12" s="118"/>
      <c r="G12" s="20"/>
      <c r="J12" s="128">
        <v>6.0714285714285721E-2</v>
      </c>
      <c r="K12" s="126">
        <v>0.9353748800143421</v>
      </c>
      <c r="L12" s="126">
        <v>1.1921878054243182</v>
      </c>
      <c r="M12"/>
    </row>
    <row r="13" spans="1:27">
      <c r="A13" s="20"/>
      <c r="B13" s="115" t="s">
        <v>434</v>
      </c>
      <c r="C13" s="119">
        <f>Statistics!C13</f>
        <v>63.756230218295386</v>
      </c>
      <c r="D13" s="117" t="s">
        <v>435</v>
      </c>
      <c r="E13" s="116"/>
      <c r="F13" s="118"/>
      <c r="G13" s="20"/>
      <c r="J13" s="128">
        <v>6.7857142857142866E-2</v>
      </c>
      <c r="K13" s="126">
        <v>0.89557169363075317</v>
      </c>
      <c r="L13" s="126">
        <v>1.1414564094488155</v>
      </c>
      <c r="M13"/>
    </row>
    <row r="14" spans="1:27" ht="28.15" customHeight="1">
      <c r="A14" s="20"/>
      <c r="B14" s="106" t="s">
        <v>436</v>
      </c>
      <c r="C14" s="67">
        <f>SQRT(1.4*287*C15)</f>
        <v>0</v>
      </c>
      <c r="D14" s="113" t="s">
        <v>116</v>
      </c>
      <c r="E14" s="67"/>
      <c r="F14" s="70" t="s">
        <v>201</v>
      </c>
      <c r="G14" s="20"/>
      <c r="J14" s="128">
        <v>7.5000000000000011E-2</v>
      </c>
      <c r="K14" s="126">
        <v>0.85576850724716402</v>
      </c>
      <c r="L14" s="126">
        <v>1.0907250134733124</v>
      </c>
      <c r="M14"/>
    </row>
    <row r="15" spans="1:27">
      <c r="A15" s="20"/>
      <c r="B15" s="106" t="s">
        <v>437</v>
      </c>
      <c r="C15" s="67">
        <f>Statistics!C12</f>
        <v>0</v>
      </c>
      <c r="D15" s="113" t="s">
        <v>119</v>
      </c>
      <c r="E15" s="67">
        <f>C15-273.15</f>
        <v>-273.14999999999998</v>
      </c>
      <c r="F15" s="70" t="s">
        <v>438</v>
      </c>
      <c r="G15" s="20"/>
      <c r="J15" s="128">
        <v>8.2142857142857156E-2</v>
      </c>
      <c r="K15" s="126">
        <v>0.81596532086357498</v>
      </c>
      <c r="L15" s="126">
        <v>1.0399936174978095</v>
      </c>
      <c r="M15"/>
    </row>
    <row r="16" spans="1:27" ht="15.75" thickBot="1">
      <c r="A16" s="20"/>
      <c r="B16" s="124" t="s">
        <v>439</v>
      </c>
      <c r="C16" s="68">
        <v>420</v>
      </c>
      <c r="D16" s="114" t="s">
        <v>204</v>
      </c>
      <c r="E16" s="68">
        <f>C16/1000</f>
        <v>0.42</v>
      </c>
      <c r="F16" s="71" t="s">
        <v>440</v>
      </c>
      <c r="G16" s="20"/>
      <c r="J16" s="128">
        <v>8.9285714285714302E-2</v>
      </c>
      <c r="K16" s="126">
        <v>0.77616213447998594</v>
      </c>
      <c r="L16" s="126">
        <v>0.98926222152230658</v>
      </c>
      <c r="M16"/>
    </row>
    <row r="17" spans="1:13">
      <c r="A17" s="20"/>
      <c r="B17" s="85" t="s">
        <v>441</v>
      </c>
      <c r="C17" s="64">
        <f>DEGREES(ATAN($C$6/$C$4))</f>
        <v>2.2906100426385296</v>
      </c>
      <c r="D17" s="110" t="s">
        <v>224</v>
      </c>
      <c r="E17" s="64">
        <f>ATAN($C$5/$C$4)</f>
        <v>9.9668652491162038E-2</v>
      </c>
      <c r="F17" s="367" t="s">
        <v>442</v>
      </c>
      <c r="G17" s="20"/>
      <c r="J17" s="128">
        <v>9.6428571428571447E-2</v>
      </c>
      <c r="K17" s="126">
        <v>0.7363589480963969</v>
      </c>
      <c r="L17" s="126">
        <v>0.93853082554680367</v>
      </c>
      <c r="M17"/>
    </row>
    <row r="18" spans="1:13" ht="15" thickBot="1">
      <c r="A18" s="20"/>
      <c r="B18" s="86" t="s">
        <v>443</v>
      </c>
      <c r="C18" s="65">
        <f>DEGREES(ATAN($C$5/$C$4))</f>
        <v>5.710593137499643</v>
      </c>
      <c r="D18" s="111" t="s">
        <v>224</v>
      </c>
      <c r="E18" s="65">
        <f>ATAN($C$6/$C$4)</f>
        <v>3.9978687123290044E-2</v>
      </c>
      <c r="F18" s="368"/>
      <c r="G18" s="20"/>
      <c r="J18" s="128">
        <v>0.10357142857142859</v>
      </c>
      <c r="K18" s="126">
        <v>0.69655576171280786</v>
      </c>
      <c r="L18" s="126">
        <v>0.88779942957130065</v>
      </c>
      <c r="M18"/>
    </row>
    <row r="19" spans="1:13">
      <c r="A19" s="20"/>
      <c r="B19" s="84" t="s">
        <v>444</v>
      </c>
      <c r="C19" s="27"/>
      <c r="D19" s="369"/>
      <c r="E19" s="27"/>
      <c r="F19" s="369" t="s">
        <v>442</v>
      </c>
      <c r="G19" s="20"/>
      <c r="J19" s="128">
        <v>0.11071428571428574</v>
      </c>
      <c r="K19" s="126">
        <v>0.65675257532921893</v>
      </c>
      <c r="L19" s="126">
        <v>0.83706803359579784</v>
      </c>
      <c r="M19"/>
    </row>
    <row r="20" spans="1:13">
      <c r="A20" s="20"/>
      <c r="B20" s="85" t="s">
        <v>445</v>
      </c>
      <c r="C20" s="20"/>
      <c r="D20" s="367"/>
      <c r="E20" s="20"/>
      <c r="F20" s="367"/>
      <c r="G20" s="20"/>
      <c r="J20" s="128">
        <v>0.11785714285714288</v>
      </c>
      <c r="K20" s="126">
        <v>0.61694938894562978</v>
      </c>
      <c r="L20" s="126">
        <v>0.78633663762029482</v>
      </c>
      <c r="M20"/>
    </row>
    <row r="21" spans="1:13" ht="15" thickBot="1">
      <c r="A21" s="20"/>
      <c r="B21" s="86" t="s">
        <v>446</v>
      </c>
      <c r="C21" s="24"/>
      <c r="D21" s="368"/>
      <c r="E21" s="24"/>
      <c r="F21" s="368"/>
      <c r="G21" s="20"/>
      <c r="J21" s="128">
        <v>0.12500000000000003</v>
      </c>
      <c r="K21" s="126">
        <v>0.57714620256204074</v>
      </c>
      <c r="L21" s="126">
        <v>0.73560524164479191</v>
      </c>
      <c r="M21"/>
    </row>
    <row r="22" spans="1:13">
      <c r="A22" s="20"/>
      <c r="B22" s="84" t="s">
        <v>447</v>
      </c>
      <c r="C22" s="27"/>
      <c r="D22" s="369"/>
      <c r="E22" s="27"/>
      <c r="F22" s="369" t="s">
        <v>448</v>
      </c>
      <c r="G22" s="20"/>
      <c r="J22" s="128">
        <v>0.13214285714285717</v>
      </c>
      <c r="K22" s="126">
        <v>0.53734301617845182</v>
      </c>
      <c r="L22" s="126">
        <v>0.68487384566928911</v>
      </c>
      <c r="M22"/>
    </row>
    <row r="23" spans="1:13">
      <c r="A23" s="20"/>
      <c r="B23" s="85" t="s">
        <v>449</v>
      </c>
      <c r="C23" s="20"/>
      <c r="D23" s="367"/>
      <c r="E23" s="20"/>
      <c r="F23" s="367"/>
      <c r="G23" s="20"/>
      <c r="J23" s="128">
        <v>0.13928571428571432</v>
      </c>
      <c r="K23" s="126">
        <v>0.49753982979486266</v>
      </c>
      <c r="L23" s="126">
        <v>0.63414244969378608</v>
      </c>
      <c r="M23"/>
    </row>
    <row r="24" spans="1:13" ht="15" thickBot="1">
      <c r="A24" s="20"/>
      <c r="B24" s="86" t="s">
        <v>450</v>
      </c>
      <c r="C24" s="24"/>
      <c r="D24" s="368"/>
      <c r="E24" s="24"/>
      <c r="F24" s="368"/>
      <c r="G24" s="20"/>
      <c r="J24" s="128">
        <v>0.14642857142857146</v>
      </c>
      <c r="K24" s="126">
        <v>0.45773664341127362</v>
      </c>
      <c r="L24" s="126">
        <v>0.58341105371828317</v>
      </c>
      <c r="M24"/>
    </row>
    <row r="25" spans="1:13">
      <c r="A25" s="20"/>
      <c r="B25" s="107"/>
      <c r="C25" s="107"/>
      <c r="D25" s="107"/>
      <c r="E25" s="64"/>
      <c r="F25" s="20"/>
      <c r="G25" s="20"/>
      <c r="J25" s="128" t="s">
        <v>451</v>
      </c>
      <c r="K25" s="126">
        <v>11.045384221445952</v>
      </c>
      <c r="L25" s="126">
        <v>14.077962383202056</v>
      </c>
      <c r="M25"/>
    </row>
    <row r="26" spans="1:13">
      <c r="A26" s="20"/>
      <c r="B26" s="107"/>
      <c r="C26" s="107"/>
      <c r="D26" s="107"/>
      <c r="E26" s="64"/>
      <c r="F26" s="20"/>
      <c r="G26" s="20"/>
    </row>
    <row r="27" spans="1:13">
      <c r="A27" s="20"/>
      <c r="B27" s="107"/>
      <c r="C27" s="107"/>
      <c r="D27" s="107"/>
      <c r="E27" s="64"/>
      <c r="F27" s="20"/>
      <c r="G27" s="20"/>
    </row>
    <row r="28" spans="1:13">
      <c r="A28" s="20"/>
      <c r="B28" s="107"/>
      <c r="C28" s="107"/>
      <c r="D28" s="107"/>
      <c r="E28" s="64"/>
      <c r="F28" s="20"/>
      <c r="G28" s="20"/>
    </row>
    <row r="29" spans="1:13">
      <c r="A29" s="20"/>
      <c r="B29" s="107"/>
      <c r="C29" s="107"/>
      <c r="D29" s="107"/>
      <c r="E29" s="64"/>
      <c r="F29" s="20"/>
      <c r="G29" s="20"/>
    </row>
    <row r="30" spans="1:13">
      <c r="A30" s="20"/>
      <c r="B30" s="107"/>
      <c r="C30" s="107"/>
      <c r="D30" s="107"/>
      <c r="E30" s="64"/>
      <c r="F30" s="20"/>
      <c r="G30" s="20"/>
    </row>
    <row r="31" spans="1:13">
      <c r="A31" s="20"/>
      <c r="B31" s="107"/>
      <c r="C31" s="107"/>
      <c r="D31" s="107"/>
      <c r="E31" s="64"/>
      <c r="F31" s="20"/>
      <c r="G31" s="20"/>
    </row>
    <row r="32" spans="1:13">
      <c r="A32" s="20"/>
      <c r="B32" s="107"/>
      <c r="C32" s="107"/>
      <c r="D32" s="107"/>
      <c r="E32" s="64"/>
      <c r="F32" s="20"/>
      <c r="G32" s="20"/>
    </row>
    <row r="33" spans="1:32">
      <c r="A33" s="20"/>
      <c r="B33" s="107"/>
      <c r="C33" s="107"/>
      <c r="D33" s="107"/>
      <c r="E33" s="64"/>
      <c r="F33" s="20"/>
      <c r="G33" s="20"/>
    </row>
    <row r="34" spans="1:32">
      <c r="A34" s="20"/>
      <c r="B34" s="107"/>
      <c r="C34" s="107"/>
      <c r="D34" s="107"/>
      <c r="E34" s="20"/>
      <c r="F34" s="20"/>
      <c r="G34" s="20"/>
    </row>
    <row r="35" spans="1:32">
      <c r="A35" s="20"/>
      <c r="B35" s="107"/>
      <c r="C35" s="107"/>
      <c r="D35" s="107"/>
      <c r="E35" s="20"/>
      <c r="F35" s="20"/>
      <c r="G35" s="20"/>
    </row>
    <row r="36" spans="1:32">
      <c r="A36" s="20"/>
      <c r="B36" s="107"/>
      <c r="C36" s="107"/>
      <c r="D36" s="107"/>
      <c r="E36" s="20"/>
      <c r="F36" s="20"/>
      <c r="G36" s="20"/>
    </row>
    <row r="37" spans="1:32">
      <c r="A37" s="20"/>
      <c r="B37" s="107"/>
      <c r="C37" s="107"/>
      <c r="D37" s="107"/>
      <c r="E37" s="20"/>
      <c r="F37" s="20"/>
      <c r="G37" s="20"/>
    </row>
    <row r="38" spans="1:32">
      <c r="A38" s="20"/>
      <c r="B38" s="107"/>
      <c r="C38" s="107"/>
      <c r="D38" s="107"/>
      <c r="E38" s="20"/>
      <c r="F38" s="20"/>
      <c r="G38" s="20"/>
    </row>
    <row r="39" spans="1:32">
      <c r="A39" s="20"/>
      <c r="B39" s="107"/>
      <c r="C39" s="107"/>
      <c r="D39" s="107"/>
      <c r="E39" s="20"/>
      <c r="F39" s="20"/>
      <c r="G39" s="20"/>
    </row>
    <row r="40" spans="1:32">
      <c r="A40" s="20"/>
      <c r="B40" s="107"/>
      <c r="C40" s="107"/>
      <c r="D40" s="107"/>
      <c r="E40" s="20"/>
      <c r="F40" s="20"/>
      <c r="G40" s="20"/>
    </row>
    <row r="41" spans="1:32" s="63" customFormat="1" ht="6.6" customHeight="1">
      <c r="B41" s="108"/>
      <c r="C41" s="108"/>
      <c r="D41" s="108"/>
    </row>
    <row r="42" spans="1:32">
      <c r="P42" s="123">
        <f>((E51/M45)/2.5)*0.4</f>
        <v>2.7096774193548392E-3</v>
      </c>
    </row>
    <row r="43" spans="1:32">
      <c r="B43" s="366" t="s">
        <v>452</v>
      </c>
      <c r="C43" s="366"/>
      <c r="D43" s="366"/>
      <c r="E43" s="366"/>
      <c r="F43" s="366"/>
    </row>
    <row r="44" spans="1:32" s="1" customFormat="1" ht="58.15" customHeight="1">
      <c r="B44" s="323" t="s">
        <v>453</v>
      </c>
      <c r="C44" s="323"/>
      <c r="D44" s="323"/>
      <c r="E44" s="323"/>
      <c r="F44" s="323"/>
      <c r="H44" s="108"/>
      <c r="J44" s="1" t="s">
        <v>454</v>
      </c>
      <c r="K44" s="1" t="s">
        <v>455</v>
      </c>
      <c r="L44" s="1" t="s">
        <v>456</v>
      </c>
      <c r="M44" s="1" t="s">
        <v>457</v>
      </c>
      <c r="N44" s="1" t="s">
        <v>458</v>
      </c>
      <c r="O44" s="1" t="s">
        <v>459</v>
      </c>
      <c r="P44" s="1" t="s">
        <v>460</v>
      </c>
      <c r="Q44" s="1" t="s">
        <v>461</v>
      </c>
      <c r="R44" s="1" t="s">
        <v>462</v>
      </c>
      <c r="S44" s="1" t="s">
        <v>463</v>
      </c>
      <c r="T44" s="1" t="s">
        <v>464</v>
      </c>
      <c r="U44" s="1" t="s">
        <v>465</v>
      </c>
      <c r="V44" s="1" t="s">
        <v>466</v>
      </c>
      <c r="W44" s="1" t="s">
        <v>467</v>
      </c>
      <c r="X44" s="1" t="s">
        <v>468</v>
      </c>
      <c r="Y44" s="1" t="s">
        <v>469</v>
      </c>
      <c r="Z44" s="1" t="s">
        <v>470</v>
      </c>
      <c r="AA44" s="1" t="s">
        <v>395</v>
      </c>
      <c r="AB44" s="1" t="s">
        <v>471</v>
      </c>
      <c r="AC44" s="1" t="s">
        <v>472</v>
      </c>
      <c r="AD44" s="1" t="s">
        <v>473</v>
      </c>
      <c r="AE44" s="1" t="s">
        <v>474</v>
      </c>
      <c r="AF44" s="1" t="s">
        <v>475</v>
      </c>
    </row>
    <row r="45" spans="1:32">
      <c r="B45" s="1" t="s">
        <v>476</v>
      </c>
      <c r="C45" s="1">
        <v>0</v>
      </c>
      <c r="D45" s="1" t="s">
        <v>442</v>
      </c>
      <c r="E45" s="13" t="s">
        <v>201</v>
      </c>
      <c r="J45" s="13">
        <v>1</v>
      </c>
      <c r="K45" s="123">
        <f>$E$54/4/$C$61</f>
        <v>3.5714285714285713E-3</v>
      </c>
      <c r="L45" s="125">
        <f t="shared" ref="L45:L65" si="0">($C$4*$C$12*M45)/$C$13</f>
        <v>4.5381185861002606</v>
      </c>
      <c r="M45" s="123">
        <f t="shared" ref="M45:M65" si="1">((($E$49-$E$50)/($E$54/2))*K45)+$E$50</f>
        <v>0.29523809523809524</v>
      </c>
      <c r="N45" s="123">
        <f t="shared" ref="N45" si="2">M45/$E$50</f>
        <v>0.98412698412698418</v>
      </c>
      <c r="O45" s="123">
        <f>(2/3)*$E$54*((N45^2+N45+1)/(N45+1))</f>
        <v>0.29762539682539679</v>
      </c>
      <c r="P45" s="123">
        <f>(E50+M45)/2*(K45)</f>
        <v>1.0629251700680271E-3</v>
      </c>
      <c r="Q45" s="123">
        <f>E51*Table2[[#This Row],[Span position (m)]]+Table2[[#This Row],[Local chord (m)]]*K45+E51*K45</f>
        <v>1.0901360544217685E-3</v>
      </c>
      <c r="R45" s="123" t="e">
        <f t="shared" ref="R45:R65" si="3">IF($C$11&gt;0.3,0,IF(L45&lt;500000,0.5*M45/(SQRT(M45)),0.37*M45/(L45^(1/5))))</f>
        <v>#DIV/0!</v>
      </c>
      <c r="S45" s="123">
        <f t="shared" ref="S45:S65" si="4">$C$4</f>
        <v>100</v>
      </c>
      <c r="T45" s="123">
        <f t="shared" ref="T45:T65" si="5">$C$6</f>
        <v>4</v>
      </c>
      <c r="U45" s="123">
        <f t="shared" ref="U45:U65" si="6">DEGREES(ATAN(T45/S45))</f>
        <v>2.2906100426385296</v>
      </c>
      <c r="V45" s="123" t="e">
        <f t="shared" ref="V45:V65" si="7">IF($C$11&lt;1,($C$62*RADIANS(U45))/SQRT(1-$C$11^2),(4*RADIANS(U45))/SQRT($C$11^2-1))</f>
        <v>#DIV/0!</v>
      </c>
      <c r="W45" s="123" t="e">
        <f t="shared" ref="W45:W65" si="8">IF($C$11&lt;0.3,IF((L45&gt;500000),0.074/L45^(1/5),1.328/SQRT(L45)),0)</f>
        <v>#DIV/0!</v>
      </c>
      <c r="X45" s="123" t="e">
        <f t="shared" ref="X45:X65" si="9">$C$63+(0.2*($C$63+W45+(V45^2/PI()*$C$56)))</f>
        <v>#DIV/0!</v>
      </c>
      <c r="Y45" s="123" t="e">
        <f>IF($C$11&lt;1,(-V45/2)/SQRT(1-$C$11^2),1)</f>
        <v>#DIV/0!</v>
      </c>
      <c r="Z45" s="123" t="e">
        <f t="shared" ref="Z45:Z65" si="10">IF($C$11&gt;0.3, 1, 0.25*M45)</f>
        <v>#DIV/0!</v>
      </c>
      <c r="AA45" s="123" t="e">
        <f t="shared" ref="AA45:AA65" si="11">0.5*$C$12*(S45^2)*P45*V45</f>
        <v>#DIV/0!</v>
      </c>
      <c r="AB45" s="123" t="e">
        <f t="shared" ref="AB45:AB65" si="12">0.5*$C$12*(S45^2)*P45*X45</f>
        <v>#DIV/0!</v>
      </c>
      <c r="AC45" s="123" t="e">
        <f t="shared" ref="AC45:AC65" si="13">0.5*$C$12*(S45^2)*P45*O45*Y45</f>
        <v>#DIV/0!</v>
      </c>
      <c r="AD45" s="123">
        <f t="shared" ref="AD45:AD65" si="14">IF(K45&gt;$E$66/2,AA45,0)</f>
        <v>0</v>
      </c>
      <c r="AE45" s="123">
        <f>IF(K45&gt;$E$66/2,Table2[[#This Row],[Drag]],0)</f>
        <v>0</v>
      </c>
      <c r="AF45" s="123">
        <f>IF(K45&gt;$E$66,Table2[[#This Row],[Moment (x-z)]],0)</f>
        <v>0</v>
      </c>
    </row>
    <row r="46" spans="1:32" ht="28.9" customHeight="1">
      <c r="B46" s="1" t="s">
        <v>477</v>
      </c>
      <c r="C46" s="1">
        <v>0</v>
      </c>
      <c r="D46" s="1" t="s">
        <v>224</v>
      </c>
      <c r="E46" s="13">
        <f>RADIANS(C46)</f>
        <v>0</v>
      </c>
      <c r="F46" s="13" t="s">
        <v>442</v>
      </c>
      <c r="J46" s="13">
        <v>2</v>
      </c>
      <c r="K46" s="123">
        <f>$E$54/2/$C$61+K45</f>
        <v>1.0714285714285714E-2</v>
      </c>
      <c r="L46" s="125">
        <f t="shared" si="0"/>
        <v>4.3917276639679939</v>
      </c>
      <c r="M46" s="123">
        <f t="shared" si="1"/>
        <v>0.2857142857142857</v>
      </c>
      <c r="N46" s="123">
        <f>M46/M45</f>
        <v>0.96774193548387089</v>
      </c>
      <c r="O46" s="123">
        <f>(2/3)*M46*((N46^2+N46+1)/(N46+1))</f>
        <v>0.2811311727229231</v>
      </c>
      <c r="P46" s="123">
        <f t="shared" ref="P46:P65" si="15">(M46+M45)/2*($K$45*2)</f>
        <v>2.0748299319727887E-3</v>
      </c>
      <c r="Q46" s="123">
        <f t="shared" ref="Q46:Q65" si="16">$E$52*(K46-K45)+M46*(K46-K45)+$E$52*(K46-K45)</f>
        <v>2.0408163265306124E-3</v>
      </c>
      <c r="R46" s="123" t="e">
        <f t="shared" si="3"/>
        <v>#DIV/0!</v>
      </c>
      <c r="S46" s="123">
        <f t="shared" si="4"/>
        <v>100</v>
      </c>
      <c r="T46" s="123">
        <f t="shared" si="5"/>
        <v>4</v>
      </c>
      <c r="U46" s="123">
        <f t="shared" si="6"/>
        <v>2.2906100426385296</v>
      </c>
      <c r="V46" s="123" t="e">
        <f t="shared" si="7"/>
        <v>#DIV/0!</v>
      </c>
      <c r="W46" s="123" t="e">
        <f t="shared" si="8"/>
        <v>#DIV/0!</v>
      </c>
      <c r="X46" s="123" t="e">
        <f t="shared" si="9"/>
        <v>#DIV/0!</v>
      </c>
      <c r="Y46" s="123" t="e">
        <f t="shared" ref="Y46:Y65" si="17">IF($C$11&lt;1,(-V46/2)/SQRT(1-$C$11^2),1)</f>
        <v>#DIV/0!</v>
      </c>
      <c r="Z46" s="123" t="e">
        <f t="shared" si="10"/>
        <v>#DIV/0!</v>
      </c>
      <c r="AA46" s="123" t="e">
        <f t="shared" si="11"/>
        <v>#DIV/0!</v>
      </c>
      <c r="AB46" s="123" t="e">
        <f t="shared" si="12"/>
        <v>#DIV/0!</v>
      </c>
      <c r="AC46" s="123" t="e">
        <f t="shared" si="13"/>
        <v>#DIV/0!</v>
      </c>
      <c r="AD46" s="123">
        <f t="shared" si="14"/>
        <v>0</v>
      </c>
      <c r="AE46" s="123">
        <f>IF(K46&gt;$E$66/2,Table2[[#This Row],[Drag]],0)</f>
        <v>0</v>
      </c>
      <c r="AF46" s="123">
        <f>IF(K46&gt;$E$66,Table2[[#This Row],[Moment (x-z)]],0)</f>
        <v>0</v>
      </c>
    </row>
    <row r="47" spans="1:32">
      <c r="B47" s="1" t="s">
        <v>478</v>
      </c>
      <c r="C47" s="1">
        <v>0</v>
      </c>
      <c r="D47" s="1" t="s">
        <v>224</v>
      </c>
      <c r="E47" s="13">
        <f>RADIANS(C47)</f>
        <v>0</v>
      </c>
      <c r="F47" s="13" t="s">
        <v>224</v>
      </c>
      <c r="J47" s="13">
        <v>3</v>
      </c>
      <c r="K47" s="123">
        <f>K46+$E$54/2/$C$61</f>
        <v>1.7857142857142856E-2</v>
      </c>
      <c r="L47" s="125">
        <f t="shared" si="0"/>
        <v>4.245336741835728</v>
      </c>
      <c r="M47" s="123">
        <f t="shared" si="1"/>
        <v>0.27619047619047621</v>
      </c>
      <c r="N47" s="123">
        <f t="shared" ref="N47:N64" si="18">M47/M46</f>
        <v>0.96666666666666679</v>
      </c>
      <c r="O47" s="123">
        <f t="shared" ref="O47:O64" si="19">(2/3)*M47*((N47^2+N47+1)/(N47+1))</f>
        <v>0.27161330822347773</v>
      </c>
      <c r="P47" s="123">
        <f t="shared" si="15"/>
        <v>2.0068027210884353E-3</v>
      </c>
      <c r="Q47" s="123">
        <f t="shared" si="16"/>
        <v>1.9727891156462582E-3</v>
      </c>
      <c r="R47" s="123" t="e">
        <f t="shared" si="3"/>
        <v>#DIV/0!</v>
      </c>
      <c r="S47" s="123">
        <f t="shared" si="4"/>
        <v>100</v>
      </c>
      <c r="T47" s="123">
        <f t="shared" si="5"/>
        <v>4</v>
      </c>
      <c r="U47" s="123">
        <f t="shared" si="6"/>
        <v>2.2906100426385296</v>
      </c>
      <c r="V47" s="123" t="e">
        <f t="shared" si="7"/>
        <v>#DIV/0!</v>
      </c>
      <c r="W47" s="123" t="e">
        <f t="shared" si="8"/>
        <v>#DIV/0!</v>
      </c>
      <c r="X47" s="123" t="e">
        <f t="shared" si="9"/>
        <v>#DIV/0!</v>
      </c>
      <c r="Y47" s="123" t="e">
        <f t="shared" si="17"/>
        <v>#DIV/0!</v>
      </c>
      <c r="Z47" s="123" t="e">
        <f t="shared" si="10"/>
        <v>#DIV/0!</v>
      </c>
      <c r="AA47" s="123" t="e">
        <f t="shared" si="11"/>
        <v>#DIV/0!</v>
      </c>
      <c r="AB47" s="123" t="e">
        <f t="shared" si="12"/>
        <v>#DIV/0!</v>
      </c>
      <c r="AC47" s="123" t="e">
        <f t="shared" si="13"/>
        <v>#DIV/0!</v>
      </c>
      <c r="AD47" s="123">
        <f t="shared" si="14"/>
        <v>0</v>
      </c>
      <c r="AE47" s="123">
        <f>IF(K47&gt;$E$66/2,Table2[[#This Row],[Drag]],0)</f>
        <v>0</v>
      </c>
      <c r="AF47" s="123">
        <f>IF(K47&gt;$E$66,Table2[[#This Row],[Moment (x-z)]],0)</f>
        <v>0</v>
      </c>
    </row>
    <row r="48" spans="1:32">
      <c r="B48" s="1" t="s">
        <v>247</v>
      </c>
      <c r="C48" s="109" t="s">
        <v>232</v>
      </c>
      <c r="J48" s="13">
        <v>4</v>
      </c>
      <c r="K48" s="123">
        <f t="shared" ref="K48:K65" si="20">K47+$E$54/2/$C$61</f>
        <v>2.4999999999999998E-2</v>
      </c>
      <c r="L48" s="125">
        <f t="shared" si="0"/>
        <v>4.0989458197034612</v>
      </c>
      <c r="M48" s="123">
        <f t="shared" si="1"/>
        <v>0.26666666666666666</v>
      </c>
      <c r="N48" s="123">
        <f t="shared" si="18"/>
        <v>0.96551724137931028</v>
      </c>
      <c r="O48" s="123">
        <f t="shared" si="19"/>
        <v>0.26209585265846608</v>
      </c>
      <c r="P48" s="123">
        <f t="shared" si="15"/>
        <v>1.9387755102040819E-3</v>
      </c>
      <c r="Q48" s="123">
        <f t="shared" si="16"/>
        <v>1.9047619047619045E-3</v>
      </c>
      <c r="R48" s="123" t="e">
        <f t="shared" si="3"/>
        <v>#DIV/0!</v>
      </c>
      <c r="S48" s="123">
        <f t="shared" si="4"/>
        <v>100</v>
      </c>
      <c r="T48" s="123">
        <f t="shared" si="5"/>
        <v>4</v>
      </c>
      <c r="U48" s="123">
        <f t="shared" si="6"/>
        <v>2.2906100426385296</v>
      </c>
      <c r="V48" s="123" t="e">
        <f t="shared" si="7"/>
        <v>#DIV/0!</v>
      </c>
      <c r="W48" s="123" t="e">
        <f t="shared" si="8"/>
        <v>#DIV/0!</v>
      </c>
      <c r="X48" s="123" t="e">
        <f t="shared" si="9"/>
        <v>#DIV/0!</v>
      </c>
      <c r="Y48" s="123" t="e">
        <f t="shared" si="17"/>
        <v>#DIV/0!</v>
      </c>
      <c r="Z48" s="123" t="e">
        <f t="shared" si="10"/>
        <v>#DIV/0!</v>
      </c>
      <c r="AA48" s="123" t="e">
        <f t="shared" si="11"/>
        <v>#DIV/0!</v>
      </c>
      <c r="AB48" s="123" t="e">
        <f t="shared" si="12"/>
        <v>#DIV/0!</v>
      </c>
      <c r="AC48" s="123" t="e">
        <f t="shared" si="13"/>
        <v>#DIV/0!</v>
      </c>
      <c r="AD48" s="123">
        <f t="shared" si="14"/>
        <v>0</v>
      </c>
      <c r="AE48" s="123">
        <f>IF(K48&gt;$E$66/2,Table2[[#This Row],[Drag]],0)</f>
        <v>0</v>
      </c>
      <c r="AF48" s="123">
        <f>IF(K48&gt;$E$66,Table2[[#This Row],[Moment (x-z)]],0)</f>
        <v>0</v>
      </c>
    </row>
    <row r="49" spans="2:32">
      <c r="B49" s="1" t="s">
        <v>236</v>
      </c>
      <c r="C49" s="1">
        <v>10</v>
      </c>
      <c r="D49" s="1" t="s">
        <v>203</v>
      </c>
      <c r="E49" s="13">
        <f>C49/100</f>
        <v>0.1</v>
      </c>
      <c r="F49" s="13" t="s">
        <v>204</v>
      </c>
      <c r="J49" s="13">
        <v>5</v>
      </c>
      <c r="K49" s="123">
        <f t="shared" si="20"/>
        <v>3.214285714285714E-2</v>
      </c>
      <c r="L49" s="125">
        <f t="shared" si="0"/>
        <v>3.9525548975711944</v>
      </c>
      <c r="M49" s="123">
        <f t="shared" si="1"/>
        <v>0.25714285714285712</v>
      </c>
      <c r="N49" s="123">
        <f t="shared" si="18"/>
        <v>0.96428571428571419</v>
      </c>
      <c r="O49" s="123">
        <f t="shared" si="19"/>
        <v>0.2525788497217068</v>
      </c>
      <c r="P49" s="123">
        <f t="shared" si="15"/>
        <v>1.8707482993197276E-3</v>
      </c>
      <c r="Q49" s="123">
        <f t="shared" si="16"/>
        <v>1.8367346938775505E-3</v>
      </c>
      <c r="R49" s="123" t="e">
        <f t="shared" si="3"/>
        <v>#DIV/0!</v>
      </c>
      <c r="S49" s="123">
        <f t="shared" si="4"/>
        <v>100</v>
      </c>
      <c r="T49" s="123">
        <f t="shared" si="5"/>
        <v>4</v>
      </c>
      <c r="U49" s="123">
        <f t="shared" si="6"/>
        <v>2.2906100426385296</v>
      </c>
      <c r="V49" s="123" t="e">
        <f t="shared" si="7"/>
        <v>#DIV/0!</v>
      </c>
      <c r="W49" s="123" t="e">
        <f t="shared" si="8"/>
        <v>#DIV/0!</v>
      </c>
      <c r="X49" s="123" t="e">
        <f t="shared" si="9"/>
        <v>#DIV/0!</v>
      </c>
      <c r="Y49" s="123" t="e">
        <f t="shared" si="17"/>
        <v>#DIV/0!</v>
      </c>
      <c r="Z49" s="123" t="e">
        <f t="shared" si="10"/>
        <v>#DIV/0!</v>
      </c>
      <c r="AA49" s="123" t="e">
        <f t="shared" si="11"/>
        <v>#DIV/0!</v>
      </c>
      <c r="AB49" s="123" t="e">
        <f t="shared" si="12"/>
        <v>#DIV/0!</v>
      </c>
      <c r="AC49" s="123" t="e">
        <f t="shared" si="13"/>
        <v>#DIV/0!</v>
      </c>
      <c r="AD49" s="123">
        <f t="shared" si="14"/>
        <v>0</v>
      </c>
      <c r="AE49" s="123">
        <f>IF(K49&gt;$E$66/2,Table2[[#This Row],[Drag]],0)</f>
        <v>0</v>
      </c>
      <c r="AF49" s="123">
        <f>IF(K49&gt;$E$66,Table2[[#This Row],[Moment (x-z)]],0)</f>
        <v>0</v>
      </c>
    </row>
    <row r="50" spans="2:32">
      <c r="B50" s="1" t="s">
        <v>237</v>
      </c>
      <c r="C50" s="1">
        <v>30</v>
      </c>
      <c r="D50" s="1" t="s">
        <v>203</v>
      </c>
      <c r="E50" s="13">
        <f>C50/100</f>
        <v>0.3</v>
      </c>
      <c r="F50" s="13" t="s">
        <v>204</v>
      </c>
      <c r="G50"/>
      <c r="H50" s="121"/>
      <c r="I50"/>
      <c r="J50" s="13">
        <v>6</v>
      </c>
      <c r="K50" s="123">
        <f t="shared" si="20"/>
        <v>3.9285714285714285E-2</v>
      </c>
      <c r="L50" s="125">
        <f t="shared" si="0"/>
        <v>3.8061639754389285</v>
      </c>
      <c r="M50" s="123">
        <f t="shared" si="1"/>
        <v>0.24761904761904763</v>
      </c>
      <c r="N50" s="123">
        <f t="shared" si="18"/>
        <v>0.96296296296296313</v>
      </c>
      <c r="O50" s="123">
        <f t="shared" si="19"/>
        <v>0.24306234956130132</v>
      </c>
      <c r="P50" s="123">
        <f t="shared" si="15"/>
        <v>1.802721088435374E-3</v>
      </c>
      <c r="Q50" s="123">
        <f t="shared" si="16"/>
        <v>1.768707482993198E-3</v>
      </c>
      <c r="R50" s="123" t="e">
        <f t="shared" si="3"/>
        <v>#DIV/0!</v>
      </c>
      <c r="S50" s="123">
        <f t="shared" si="4"/>
        <v>100</v>
      </c>
      <c r="T50" s="123">
        <f t="shared" si="5"/>
        <v>4</v>
      </c>
      <c r="U50" s="123">
        <f t="shared" si="6"/>
        <v>2.2906100426385296</v>
      </c>
      <c r="V50" s="123" t="e">
        <f t="shared" si="7"/>
        <v>#DIV/0!</v>
      </c>
      <c r="W50" s="123" t="e">
        <f t="shared" si="8"/>
        <v>#DIV/0!</v>
      </c>
      <c r="X50" s="123" t="e">
        <f t="shared" si="9"/>
        <v>#DIV/0!</v>
      </c>
      <c r="Y50" s="123" t="e">
        <f t="shared" si="17"/>
        <v>#DIV/0!</v>
      </c>
      <c r="Z50" s="123" t="e">
        <f t="shared" si="10"/>
        <v>#DIV/0!</v>
      </c>
      <c r="AA50" s="123" t="e">
        <f t="shared" si="11"/>
        <v>#DIV/0!</v>
      </c>
      <c r="AB50" s="123" t="e">
        <f t="shared" si="12"/>
        <v>#DIV/0!</v>
      </c>
      <c r="AC50" s="123" t="e">
        <f t="shared" si="13"/>
        <v>#DIV/0!</v>
      </c>
      <c r="AD50" s="123">
        <f t="shared" si="14"/>
        <v>0</v>
      </c>
      <c r="AE50" s="123">
        <f>IF(K50&gt;$E$66/2,Table2[[#This Row],[Drag]],0)</f>
        <v>0</v>
      </c>
      <c r="AF50" s="123">
        <f>IF(K50&gt;$E$66,Table2[[#This Row],[Moment (x-z)]],0)</f>
        <v>0</v>
      </c>
    </row>
    <row r="51" spans="2:32">
      <c r="B51" s="1" t="s">
        <v>479</v>
      </c>
      <c r="C51" s="1">
        <v>0.5</v>
      </c>
      <c r="D51" s="1" t="s">
        <v>203</v>
      </c>
      <c r="E51" s="13">
        <f>C51/100</f>
        <v>5.0000000000000001E-3</v>
      </c>
      <c r="F51" s="13" t="s">
        <v>204</v>
      </c>
      <c r="G51"/>
      <c r="H51" s="121"/>
      <c r="I51"/>
      <c r="J51" s="13">
        <v>7</v>
      </c>
      <c r="K51" s="123">
        <f t="shared" si="20"/>
        <v>4.642857142857143E-2</v>
      </c>
      <c r="L51" s="125">
        <f t="shared" si="0"/>
        <v>3.6597730533066617</v>
      </c>
      <c r="M51" s="123">
        <f t="shared" si="1"/>
        <v>0.23809523809523808</v>
      </c>
      <c r="N51" s="123">
        <f t="shared" si="18"/>
        <v>0.96153846153846145</v>
      </c>
      <c r="O51" s="123">
        <f t="shared" si="19"/>
        <v>0.23354641001699822</v>
      </c>
      <c r="P51" s="123">
        <f t="shared" si="15"/>
        <v>1.7346938775510204E-3</v>
      </c>
      <c r="Q51" s="123">
        <f t="shared" si="16"/>
        <v>1.7006802721088439E-3</v>
      </c>
      <c r="R51" s="123" t="e">
        <f t="shared" si="3"/>
        <v>#DIV/0!</v>
      </c>
      <c r="S51" s="123">
        <f t="shared" si="4"/>
        <v>100</v>
      </c>
      <c r="T51" s="123">
        <f t="shared" si="5"/>
        <v>4</v>
      </c>
      <c r="U51" s="123">
        <f t="shared" si="6"/>
        <v>2.2906100426385296</v>
      </c>
      <c r="V51" s="123" t="e">
        <f t="shared" si="7"/>
        <v>#DIV/0!</v>
      </c>
      <c r="W51" s="123" t="e">
        <f t="shared" si="8"/>
        <v>#DIV/0!</v>
      </c>
      <c r="X51" s="123" t="e">
        <f t="shared" si="9"/>
        <v>#DIV/0!</v>
      </c>
      <c r="Y51" s="123" t="e">
        <f t="shared" si="17"/>
        <v>#DIV/0!</v>
      </c>
      <c r="Z51" s="123" t="e">
        <f t="shared" si="10"/>
        <v>#DIV/0!</v>
      </c>
      <c r="AA51" s="123" t="e">
        <f t="shared" si="11"/>
        <v>#DIV/0!</v>
      </c>
      <c r="AB51" s="123" t="e">
        <f t="shared" si="12"/>
        <v>#DIV/0!</v>
      </c>
      <c r="AC51" s="123" t="e">
        <f t="shared" si="13"/>
        <v>#DIV/0!</v>
      </c>
      <c r="AD51" s="123" t="e">
        <f t="shared" si="14"/>
        <v>#DIV/0!</v>
      </c>
      <c r="AE51" s="123" t="e">
        <f>IF(K51&gt;$E$66/2,Table2[[#This Row],[Drag]],0)</f>
        <v>#DIV/0!</v>
      </c>
      <c r="AF51" s="123">
        <f>IF(K51&gt;$E$66,Table2[[#This Row],[Moment (x-z)]],0)</f>
        <v>0</v>
      </c>
    </row>
    <row r="52" spans="2:32">
      <c r="B52" s="1" t="s">
        <v>223</v>
      </c>
      <c r="C52" s="1">
        <v>0</v>
      </c>
      <c r="D52" s="1" t="s">
        <v>224</v>
      </c>
      <c r="E52" s="13">
        <f>RADIANS(C52)</f>
        <v>0</v>
      </c>
      <c r="F52" s="13" t="s">
        <v>442</v>
      </c>
      <c r="G52"/>
      <c r="H52" s="121"/>
      <c r="I52"/>
      <c r="J52" s="13">
        <v>8</v>
      </c>
      <c r="K52" s="123">
        <f t="shared" si="20"/>
        <v>5.3571428571428575E-2</v>
      </c>
      <c r="L52" s="125">
        <f t="shared" si="0"/>
        <v>3.5133821311743954</v>
      </c>
      <c r="M52" s="123">
        <f t="shared" si="1"/>
        <v>0.22857142857142856</v>
      </c>
      <c r="N52" s="123">
        <f t="shared" si="18"/>
        <v>0.96000000000000008</v>
      </c>
      <c r="O52" s="123">
        <f t="shared" si="19"/>
        <v>0.22403109815354713</v>
      </c>
      <c r="P52" s="123">
        <f t="shared" si="15"/>
        <v>1.6666666666666666E-3</v>
      </c>
      <c r="Q52" s="123">
        <f t="shared" si="16"/>
        <v>1.6326530612244903E-3</v>
      </c>
      <c r="R52" s="123" t="e">
        <f t="shared" si="3"/>
        <v>#DIV/0!</v>
      </c>
      <c r="S52" s="123">
        <f t="shared" si="4"/>
        <v>100</v>
      </c>
      <c r="T52" s="123">
        <f t="shared" si="5"/>
        <v>4</v>
      </c>
      <c r="U52" s="123">
        <f t="shared" si="6"/>
        <v>2.2906100426385296</v>
      </c>
      <c r="V52" s="123" t="e">
        <f t="shared" si="7"/>
        <v>#DIV/0!</v>
      </c>
      <c r="W52" s="123" t="e">
        <f t="shared" si="8"/>
        <v>#DIV/0!</v>
      </c>
      <c r="X52" s="123" t="e">
        <f t="shared" si="9"/>
        <v>#DIV/0!</v>
      </c>
      <c r="Y52" s="123" t="e">
        <f t="shared" si="17"/>
        <v>#DIV/0!</v>
      </c>
      <c r="Z52" s="123" t="e">
        <f t="shared" si="10"/>
        <v>#DIV/0!</v>
      </c>
      <c r="AA52" s="123" t="e">
        <f t="shared" si="11"/>
        <v>#DIV/0!</v>
      </c>
      <c r="AB52" s="123" t="e">
        <f t="shared" si="12"/>
        <v>#DIV/0!</v>
      </c>
      <c r="AC52" s="123" t="e">
        <f t="shared" si="13"/>
        <v>#DIV/0!</v>
      </c>
      <c r="AD52" s="123" t="e">
        <f t="shared" si="14"/>
        <v>#DIV/0!</v>
      </c>
      <c r="AE52" s="123" t="e">
        <f>IF(K52&gt;$E$66/2,Table2[[#This Row],[Drag]],0)</f>
        <v>#DIV/0!</v>
      </c>
      <c r="AF52" s="123">
        <f>IF(K52&gt;$E$66,Table2[[#This Row],[Moment (x-z)]],0)</f>
        <v>0</v>
      </c>
    </row>
    <row r="53" spans="2:32">
      <c r="B53" s="1" t="s">
        <v>238</v>
      </c>
      <c r="C53" s="1">
        <f>C49/C50</f>
        <v>0.33333333333333331</v>
      </c>
      <c r="G53"/>
      <c r="H53" s="121"/>
      <c r="I53"/>
      <c r="J53" s="13">
        <v>9</v>
      </c>
      <c r="K53" s="123">
        <f t="shared" si="20"/>
        <v>6.0714285714285721E-2</v>
      </c>
      <c r="L53" s="125">
        <f t="shared" si="0"/>
        <v>3.3669912090421286</v>
      </c>
      <c r="M53" s="123">
        <f t="shared" si="1"/>
        <v>0.21904761904761905</v>
      </c>
      <c r="N53" s="123">
        <f t="shared" si="18"/>
        <v>0.95833333333333337</v>
      </c>
      <c r="O53" s="123">
        <f t="shared" si="19"/>
        <v>0.21451649217606661</v>
      </c>
      <c r="P53" s="123">
        <f t="shared" si="15"/>
        <v>1.5986394557823127E-3</v>
      </c>
      <c r="Q53" s="123">
        <f t="shared" si="16"/>
        <v>1.5646258503401367E-3</v>
      </c>
      <c r="R53" s="123" t="e">
        <f t="shared" si="3"/>
        <v>#DIV/0!</v>
      </c>
      <c r="S53" s="123">
        <f t="shared" si="4"/>
        <v>100</v>
      </c>
      <c r="T53" s="123">
        <f t="shared" si="5"/>
        <v>4</v>
      </c>
      <c r="U53" s="123">
        <f t="shared" si="6"/>
        <v>2.2906100426385296</v>
      </c>
      <c r="V53" s="123" t="e">
        <f t="shared" si="7"/>
        <v>#DIV/0!</v>
      </c>
      <c r="W53" s="123" t="e">
        <f t="shared" si="8"/>
        <v>#DIV/0!</v>
      </c>
      <c r="X53" s="123" t="e">
        <f t="shared" si="9"/>
        <v>#DIV/0!</v>
      </c>
      <c r="Y53" s="123" t="e">
        <f t="shared" si="17"/>
        <v>#DIV/0!</v>
      </c>
      <c r="Z53" s="123" t="e">
        <f t="shared" si="10"/>
        <v>#DIV/0!</v>
      </c>
      <c r="AA53" s="123" t="e">
        <f t="shared" si="11"/>
        <v>#DIV/0!</v>
      </c>
      <c r="AB53" s="123" t="e">
        <f t="shared" si="12"/>
        <v>#DIV/0!</v>
      </c>
      <c r="AC53" s="123" t="e">
        <f t="shared" si="13"/>
        <v>#DIV/0!</v>
      </c>
      <c r="AD53" s="123" t="e">
        <f t="shared" si="14"/>
        <v>#DIV/0!</v>
      </c>
      <c r="AE53" s="123" t="e">
        <f>IF(K53&gt;$E$66/2,Table2[[#This Row],[Drag]],0)</f>
        <v>#DIV/0!</v>
      </c>
      <c r="AF53" s="123">
        <f>IF(K53&gt;$E$66,Table2[[#This Row],[Moment (x-z)]],0)</f>
        <v>0</v>
      </c>
    </row>
    <row r="54" spans="2:32">
      <c r="B54" s="1" t="s">
        <v>240</v>
      </c>
      <c r="C54" s="1">
        <v>30</v>
      </c>
      <c r="D54" s="1" t="s">
        <v>203</v>
      </c>
      <c r="E54" s="13">
        <f>C54/100</f>
        <v>0.3</v>
      </c>
      <c r="F54" s="13" t="s">
        <v>204</v>
      </c>
      <c r="G54"/>
      <c r="H54" s="121"/>
      <c r="I54"/>
      <c r="J54" s="13">
        <v>10</v>
      </c>
      <c r="K54" s="123">
        <f t="shared" si="20"/>
        <v>6.7857142857142866E-2</v>
      </c>
      <c r="L54" s="125">
        <f t="shared" si="0"/>
        <v>3.2206002869098622</v>
      </c>
      <c r="M54" s="123">
        <f t="shared" si="1"/>
        <v>0.2095238095238095</v>
      </c>
      <c r="N54" s="123">
        <f t="shared" si="18"/>
        <v>0.9565217391304347</v>
      </c>
      <c r="O54" s="123">
        <f t="shared" si="19"/>
        <v>0.20500268384326351</v>
      </c>
      <c r="P54" s="123">
        <f t="shared" si="15"/>
        <v>1.5306122448979591E-3</v>
      </c>
      <c r="Q54" s="123">
        <f t="shared" si="16"/>
        <v>1.4965986394557826E-3</v>
      </c>
      <c r="R54" s="123" t="e">
        <f t="shared" si="3"/>
        <v>#DIV/0!</v>
      </c>
      <c r="S54" s="123">
        <f t="shared" si="4"/>
        <v>100</v>
      </c>
      <c r="T54" s="123">
        <f t="shared" si="5"/>
        <v>4</v>
      </c>
      <c r="U54" s="123">
        <f t="shared" si="6"/>
        <v>2.2906100426385296</v>
      </c>
      <c r="V54" s="123" t="e">
        <f t="shared" si="7"/>
        <v>#DIV/0!</v>
      </c>
      <c r="W54" s="123" t="e">
        <f t="shared" si="8"/>
        <v>#DIV/0!</v>
      </c>
      <c r="X54" s="123" t="e">
        <f t="shared" si="9"/>
        <v>#DIV/0!</v>
      </c>
      <c r="Y54" s="123" t="e">
        <f t="shared" si="17"/>
        <v>#DIV/0!</v>
      </c>
      <c r="Z54" s="123" t="e">
        <f t="shared" si="10"/>
        <v>#DIV/0!</v>
      </c>
      <c r="AA54" s="123" t="e">
        <f t="shared" si="11"/>
        <v>#DIV/0!</v>
      </c>
      <c r="AB54" s="123" t="e">
        <f t="shared" si="12"/>
        <v>#DIV/0!</v>
      </c>
      <c r="AC54" s="123" t="e">
        <f t="shared" si="13"/>
        <v>#DIV/0!</v>
      </c>
      <c r="AD54" s="123" t="e">
        <f t="shared" si="14"/>
        <v>#DIV/0!</v>
      </c>
      <c r="AE54" s="123" t="e">
        <f>IF(K54&gt;$E$66/2,Table2[[#This Row],[Drag]],0)</f>
        <v>#DIV/0!</v>
      </c>
      <c r="AF54" s="123">
        <f>IF(K54&gt;$E$66,Table2[[#This Row],[Moment (x-z)]],0)</f>
        <v>0</v>
      </c>
    </row>
    <row r="55" spans="2:32" ht="28.5">
      <c r="B55" s="1" t="s">
        <v>242</v>
      </c>
      <c r="C55" s="1">
        <f>(C49+C50)*(C54/2)</f>
        <v>600</v>
      </c>
      <c r="D55" s="1" t="s">
        <v>243</v>
      </c>
      <c r="E55" s="13">
        <f>(E49+E50)*(E54/2)</f>
        <v>0.06</v>
      </c>
      <c r="F55" s="13" t="s">
        <v>230</v>
      </c>
      <c r="G55"/>
      <c r="H55" s="121"/>
      <c r="I55"/>
      <c r="J55" s="13">
        <v>11</v>
      </c>
      <c r="K55" s="123">
        <f t="shared" si="20"/>
        <v>7.5000000000000011E-2</v>
      </c>
      <c r="L55" s="125">
        <f t="shared" si="0"/>
        <v>3.0742093647775954</v>
      </c>
      <c r="M55" s="123">
        <f t="shared" si="1"/>
        <v>0.19999999999999998</v>
      </c>
      <c r="N55" s="123">
        <f t="shared" si="18"/>
        <v>0.95454545454545459</v>
      </c>
      <c r="O55" s="123">
        <f t="shared" si="19"/>
        <v>0.19548978153629312</v>
      </c>
      <c r="P55" s="123">
        <f t="shared" si="15"/>
        <v>1.4625850340136053E-3</v>
      </c>
      <c r="Q55" s="123">
        <f t="shared" si="16"/>
        <v>1.428571428571429E-3</v>
      </c>
      <c r="R55" s="123" t="e">
        <f t="shared" si="3"/>
        <v>#DIV/0!</v>
      </c>
      <c r="S55" s="123">
        <f t="shared" si="4"/>
        <v>100</v>
      </c>
      <c r="T55" s="123">
        <f t="shared" si="5"/>
        <v>4</v>
      </c>
      <c r="U55" s="123">
        <f t="shared" si="6"/>
        <v>2.2906100426385296</v>
      </c>
      <c r="V55" s="123" t="e">
        <f t="shared" si="7"/>
        <v>#DIV/0!</v>
      </c>
      <c r="W55" s="123" t="e">
        <f t="shared" si="8"/>
        <v>#DIV/0!</v>
      </c>
      <c r="X55" s="123" t="e">
        <f t="shared" si="9"/>
        <v>#DIV/0!</v>
      </c>
      <c r="Y55" s="123" t="e">
        <f t="shared" si="17"/>
        <v>#DIV/0!</v>
      </c>
      <c r="Z55" s="123" t="e">
        <f t="shared" si="10"/>
        <v>#DIV/0!</v>
      </c>
      <c r="AA55" s="123" t="e">
        <f t="shared" si="11"/>
        <v>#DIV/0!</v>
      </c>
      <c r="AB55" s="123" t="e">
        <f t="shared" si="12"/>
        <v>#DIV/0!</v>
      </c>
      <c r="AC55" s="123" t="e">
        <f t="shared" si="13"/>
        <v>#DIV/0!</v>
      </c>
      <c r="AD55" s="123" t="e">
        <f t="shared" si="14"/>
        <v>#DIV/0!</v>
      </c>
      <c r="AE55" s="123" t="e">
        <f>IF(K55&gt;$E$66/2,Table2[[#This Row],[Drag]],0)</f>
        <v>#DIV/0!</v>
      </c>
      <c r="AF55" s="123">
        <f>IF(K55&gt;$E$66,Table2[[#This Row],[Moment (x-z)]],0)</f>
        <v>0</v>
      </c>
    </row>
    <row r="56" spans="2:32">
      <c r="B56" s="1" t="s">
        <v>226</v>
      </c>
      <c r="C56" s="1">
        <f>(C54^2)/C55</f>
        <v>1.5</v>
      </c>
      <c r="D56" s="1" t="s">
        <v>201</v>
      </c>
      <c r="G56"/>
      <c r="H56" s="121"/>
      <c r="I56"/>
      <c r="J56" s="13">
        <v>12</v>
      </c>
      <c r="K56" s="123">
        <f t="shared" si="20"/>
        <v>8.2142857142857156E-2</v>
      </c>
      <c r="L56" s="125">
        <f t="shared" si="0"/>
        <v>2.9278184426453295</v>
      </c>
      <c r="M56" s="123">
        <f t="shared" si="1"/>
        <v>0.19047619047619047</v>
      </c>
      <c r="N56" s="123">
        <f t="shared" si="18"/>
        <v>0.95238095238095244</v>
      </c>
      <c r="O56" s="123">
        <f t="shared" si="19"/>
        <v>0.1859779142009107</v>
      </c>
      <c r="P56" s="123">
        <f t="shared" si="15"/>
        <v>1.3945578231292514E-3</v>
      </c>
      <c r="Q56" s="123">
        <f t="shared" si="16"/>
        <v>1.3605442176870752E-3</v>
      </c>
      <c r="R56" s="123" t="e">
        <f t="shared" si="3"/>
        <v>#DIV/0!</v>
      </c>
      <c r="S56" s="123">
        <f t="shared" si="4"/>
        <v>100</v>
      </c>
      <c r="T56" s="123">
        <f t="shared" si="5"/>
        <v>4</v>
      </c>
      <c r="U56" s="123">
        <f t="shared" si="6"/>
        <v>2.2906100426385296</v>
      </c>
      <c r="V56" s="123" t="e">
        <f t="shared" si="7"/>
        <v>#DIV/0!</v>
      </c>
      <c r="W56" s="123" t="e">
        <f t="shared" si="8"/>
        <v>#DIV/0!</v>
      </c>
      <c r="X56" s="123" t="e">
        <f t="shared" si="9"/>
        <v>#DIV/0!</v>
      </c>
      <c r="Y56" s="123" t="e">
        <f t="shared" si="17"/>
        <v>#DIV/0!</v>
      </c>
      <c r="Z56" s="123" t="e">
        <f t="shared" si="10"/>
        <v>#DIV/0!</v>
      </c>
      <c r="AA56" s="123" t="e">
        <f t="shared" si="11"/>
        <v>#DIV/0!</v>
      </c>
      <c r="AB56" s="123" t="e">
        <f t="shared" si="12"/>
        <v>#DIV/0!</v>
      </c>
      <c r="AC56" s="123" t="e">
        <f t="shared" si="13"/>
        <v>#DIV/0!</v>
      </c>
      <c r="AD56" s="123" t="e">
        <f t="shared" si="14"/>
        <v>#DIV/0!</v>
      </c>
      <c r="AE56" s="123" t="e">
        <f>IF(K56&gt;$E$66/2,Table2[[#This Row],[Drag]],0)</f>
        <v>#DIV/0!</v>
      </c>
      <c r="AF56" s="123" t="e">
        <f>IF(K56&gt;$E$66,Table2[[#This Row],[Moment (x-z)]],0)</f>
        <v>#DIV/0!</v>
      </c>
    </row>
    <row r="57" spans="2:32">
      <c r="B57" s="1" t="s">
        <v>480</v>
      </c>
      <c r="C57" s="1">
        <f>(2/3)*C50*((C53^2+C53+1)/(C53+1))</f>
        <v>21.666666666666671</v>
      </c>
      <c r="D57" s="1" t="s">
        <v>203</v>
      </c>
      <c r="E57" s="13">
        <f>C57/100</f>
        <v>0.2166666666666667</v>
      </c>
      <c r="F57" s="13" t="s">
        <v>204</v>
      </c>
      <c r="G57"/>
      <c r="H57" s="121"/>
      <c r="I57"/>
      <c r="J57" s="13">
        <v>13</v>
      </c>
      <c r="K57" s="123">
        <f t="shared" si="20"/>
        <v>8.9285714285714302E-2</v>
      </c>
      <c r="L57" s="125">
        <f t="shared" si="0"/>
        <v>2.7814275205130623</v>
      </c>
      <c r="M57" s="123">
        <f t="shared" si="1"/>
        <v>0.18095238095238092</v>
      </c>
      <c r="N57" s="123">
        <f t="shared" si="18"/>
        <v>0.94999999999999984</v>
      </c>
      <c r="O57" s="123">
        <f t="shared" si="19"/>
        <v>0.17646723646723642</v>
      </c>
      <c r="P57" s="123">
        <f t="shared" si="15"/>
        <v>1.3265306122448978E-3</v>
      </c>
      <c r="Q57" s="123">
        <f t="shared" si="16"/>
        <v>1.2925170068027213E-3</v>
      </c>
      <c r="R57" s="123" t="e">
        <f t="shared" si="3"/>
        <v>#DIV/0!</v>
      </c>
      <c r="S57" s="123">
        <f t="shared" si="4"/>
        <v>100</v>
      </c>
      <c r="T57" s="123">
        <f t="shared" si="5"/>
        <v>4</v>
      </c>
      <c r="U57" s="123">
        <f t="shared" si="6"/>
        <v>2.2906100426385296</v>
      </c>
      <c r="V57" s="123" t="e">
        <f t="shared" si="7"/>
        <v>#DIV/0!</v>
      </c>
      <c r="W57" s="123" t="e">
        <f t="shared" si="8"/>
        <v>#DIV/0!</v>
      </c>
      <c r="X57" s="123" t="e">
        <f t="shared" si="9"/>
        <v>#DIV/0!</v>
      </c>
      <c r="Y57" s="123" t="e">
        <f t="shared" si="17"/>
        <v>#DIV/0!</v>
      </c>
      <c r="Z57" s="123" t="e">
        <f t="shared" si="10"/>
        <v>#DIV/0!</v>
      </c>
      <c r="AA57" s="123" t="e">
        <f t="shared" si="11"/>
        <v>#DIV/0!</v>
      </c>
      <c r="AB57" s="123" t="e">
        <f t="shared" si="12"/>
        <v>#DIV/0!</v>
      </c>
      <c r="AC57" s="123" t="e">
        <f t="shared" si="13"/>
        <v>#DIV/0!</v>
      </c>
      <c r="AD57" s="123" t="e">
        <f t="shared" si="14"/>
        <v>#DIV/0!</v>
      </c>
      <c r="AE57" s="123" t="e">
        <f>IF(K57&gt;$E$66/2,Table2[[#This Row],[Drag]],0)</f>
        <v>#DIV/0!</v>
      </c>
      <c r="AF57" s="123" t="e">
        <f>IF(K57&gt;$E$66,Table2[[#This Row],[Moment (x-z)]],0)</f>
        <v>#DIV/0!</v>
      </c>
    </row>
    <row r="58" spans="2:32">
      <c r="B58" s="1" t="s">
        <v>481</v>
      </c>
      <c r="C58" s="1">
        <f>IF(E11&lt;0.7,0.25*C57,0.5*C57)</f>
        <v>5.4166666666666679</v>
      </c>
      <c r="D58" s="1" t="s">
        <v>203</v>
      </c>
      <c r="E58" s="13">
        <f>C58/100</f>
        <v>5.4166666666666675E-2</v>
      </c>
      <c r="F58" s="13" t="s">
        <v>204</v>
      </c>
      <c r="G58"/>
      <c r="H58" s="121"/>
      <c r="I58"/>
      <c r="J58" s="13">
        <v>14</v>
      </c>
      <c r="K58" s="123">
        <f t="shared" si="20"/>
        <v>9.6428571428571447E-2</v>
      </c>
      <c r="L58" s="125">
        <f t="shared" si="0"/>
        <v>2.6350365983807964</v>
      </c>
      <c r="M58" s="123">
        <f t="shared" si="1"/>
        <v>0.1714285714285714</v>
      </c>
      <c r="N58" s="123">
        <f t="shared" si="18"/>
        <v>0.94736842105263164</v>
      </c>
      <c r="O58" s="123">
        <f t="shared" si="19"/>
        <v>0.16695793537898801</v>
      </c>
      <c r="P58" s="123">
        <f t="shared" si="15"/>
        <v>1.258503401360544E-3</v>
      </c>
      <c r="Q58" s="123">
        <f t="shared" si="16"/>
        <v>1.2244897959183675E-3</v>
      </c>
      <c r="R58" s="123" t="e">
        <f t="shared" si="3"/>
        <v>#DIV/0!</v>
      </c>
      <c r="S58" s="123">
        <f t="shared" si="4"/>
        <v>100</v>
      </c>
      <c r="T58" s="123">
        <f t="shared" si="5"/>
        <v>4</v>
      </c>
      <c r="U58" s="123">
        <f t="shared" si="6"/>
        <v>2.2906100426385296</v>
      </c>
      <c r="V58" s="123" t="e">
        <f t="shared" si="7"/>
        <v>#DIV/0!</v>
      </c>
      <c r="W58" s="123" t="e">
        <f t="shared" si="8"/>
        <v>#DIV/0!</v>
      </c>
      <c r="X58" s="123" t="e">
        <f t="shared" si="9"/>
        <v>#DIV/0!</v>
      </c>
      <c r="Y58" s="123" t="e">
        <f t="shared" si="17"/>
        <v>#DIV/0!</v>
      </c>
      <c r="Z58" s="123" t="e">
        <f t="shared" si="10"/>
        <v>#DIV/0!</v>
      </c>
      <c r="AA58" s="123" t="e">
        <f t="shared" si="11"/>
        <v>#DIV/0!</v>
      </c>
      <c r="AB58" s="123" t="e">
        <f t="shared" si="12"/>
        <v>#DIV/0!</v>
      </c>
      <c r="AC58" s="123" t="e">
        <f t="shared" si="13"/>
        <v>#DIV/0!</v>
      </c>
      <c r="AD58" s="123" t="e">
        <f t="shared" si="14"/>
        <v>#DIV/0!</v>
      </c>
      <c r="AE58" s="123" t="e">
        <f>IF(K58&gt;$E$66/2,Table2[[#This Row],[Drag]],0)</f>
        <v>#DIV/0!</v>
      </c>
      <c r="AF58" s="123" t="e">
        <f>IF(K58&gt;$E$66,Table2[[#This Row],[Moment (x-z)]],0)</f>
        <v>#DIV/0!</v>
      </c>
    </row>
    <row r="59" spans="2:32">
      <c r="B59" s="1" t="s">
        <v>482</v>
      </c>
      <c r="C59" s="120">
        <f>($C$4*C50*$C$12)/$C$13</f>
        <v>461.13140471663939</v>
      </c>
      <c r="D59" s="1" t="s">
        <v>201</v>
      </c>
      <c r="E59" s="13" t="str">
        <f>IF(C59&gt;500000,"TURBULENT","LAMINAR")</f>
        <v>LAMINAR</v>
      </c>
      <c r="G59"/>
      <c r="H59" s="121"/>
      <c r="I59"/>
      <c r="J59" s="13">
        <v>15</v>
      </c>
      <c r="K59" s="123">
        <f t="shared" si="20"/>
        <v>0.10357142857142859</v>
      </c>
      <c r="L59" s="125">
        <f t="shared" si="0"/>
        <v>2.4886456762485296</v>
      </c>
      <c r="M59" s="123">
        <f t="shared" si="1"/>
        <v>0.16190476190476188</v>
      </c>
      <c r="N59" s="123">
        <f t="shared" si="18"/>
        <v>0.94444444444444442</v>
      </c>
      <c r="O59" s="123">
        <f t="shared" si="19"/>
        <v>0.15745023935500121</v>
      </c>
      <c r="P59" s="123">
        <f t="shared" si="15"/>
        <v>1.1904761904761901E-3</v>
      </c>
      <c r="Q59" s="123">
        <f t="shared" si="16"/>
        <v>1.1564625850340139E-3</v>
      </c>
      <c r="R59" s="123" t="e">
        <f t="shared" si="3"/>
        <v>#DIV/0!</v>
      </c>
      <c r="S59" s="123">
        <f t="shared" si="4"/>
        <v>100</v>
      </c>
      <c r="T59" s="123">
        <f t="shared" si="5"/>
        <v>4</v>
      </c>
      <c r="U59" s="123">
        <f t="shared" si="6"/>
        <v>2.2906100426385296</v>
      </c>
      <c r="V59" s="123" t="e">
        <f t="shared" si="7"/>
        <v>#DIV/0!</v>
      </c>
      <c r="W59" s="123" t="e">
        <f t="shared" si="8"/>
        <v>#DIV/0!</v>
      </c>
      <c r="X59" s="123" t="e">
        <f t="shared" si="9"/>
        <v>#DIV/0!</v>
      </c>
      <c r="Y59" s="123" t="e">
        <f t="shared" si="17"/>
        <v>#DIV/0!</v>
      </c>
      <c r="Z59" s="123" t="e">
        <f t="shared" si="10"/>
        <v>#DIV/0!</v>
      </c>
      <c r="AA59" s="123" t="e">
        <f t="shared" si="11"/>
        <v>#DIV/0!</v>
      </c>
      <c r="AB59" s="123" t="e">
        <f t="shared" si="12"/>
        <v>#DIV/0!</v>
      </c>
      <c r="AC59" s="123" t="e">
        <f t="shared" si="13"/>
        <v>#DIV/0!</v>
      </c>
      <c r="AD59" s="123" t="e">
        <f t="shared" si="14"/>
        <v>#DIV/0!</v>
      </c>
      <c r="AE59" s="123" t="e">
        <f>IF(K59&gt;$E$66/2,Table2[[#This Row],[Drag]],0)</f>
        <v>#DIV/0!</v>
      </c>
      <c r="AF59" s="123" t="e">
        <f>IF(K59&gt;$E$66,Table2[[#This Row],[Moment (x-z)]],0)</f>
        <v>#DIV/0!</v>
      </c>
    </row>
    <row r="60" spans="2:32">
      <c r="B60" s="1" t="s">
        <v>483</v>
      </c>
      <c r="C60" s="120">
        <f>($C$4*C49*$C$12)/$C$13</f>
        <v>153.71046823887977</v>
      </c>
      <c r="D60" s="1" t="s">
        <v>201</v>
      </c>
      <c r="E60" s="13" t="str">
        <f>IF(C60&gt;500000,"TURBULENT","LAMINAR")</f>
        <v>LAMINAR</v>
      </c>
      <c r="J60" s="13">
        <v>16</v>
      </c>
      <c r="K60" s="123">
        <f t="shared" si="20"/>
        <v>0.11071428571428574</v>
      </c>
      <c r="L60" s="125">
        <f t="shared" si="0"/>
        <v>2.3422547541162628</v>
      </c>
      <c r="M60" s="123">
        <f t="shared" si="1"/>
        <v>0.15238095238095234</v>
      </c>
      <c r="N60" s="123">
        <f t="shared" si="18"/>
        <v>0.94117647058823517</v>
      </c>
      <c r="O60" s="123">
        <f t="shared" si="19"/>
        <v>0.14794443029737142</v>
      </c>
      <c r="P60" s="123">
        <f t="shared" si="15"/>
        <v>1.1224489795918365E-3</v>
      </c>
      <c r="Q60" s="123">
        <f t="shared" si="16"/>
        <v>1.0884353741496598E-3</v>
      </c>
      <c r="R60" s="123" t="e">
        <f t="shared" si="3"/>
        <v>#DIV/0!</v>
      </c>
      <c r="S60" s="123">
        <f t="shared" si="4"/>
        <v>100</v>
      </c>
      <c r="T60" s="123">
        <f t="shared" si="5"/>
        <v>4</v>
      </c>
      <c r="U60" s="123">
        <f t="shared" si="6"/>
        <v>2.2906100426385296</v>
      </c>
      <c r="V60" s="123" t="e">
        <f t="shared" si="7"/>
        <v>#DIV/0!</v>
      </c>
      <c r="W60" s="123" t="e">
        <f t="shared" si="8"/>
        <v>#DIV/0!</v>
      </c>
      <c r="X60" s="123" t="e">
        <f t="shared" si="9"/>
        <v>#DIV/0!</v>
      </c>
      <c r="Y60" s="123" t="e">
        <f t="shared" si="17"/>
        <v>#DIV/0!</v>
      </c>
      <c r="Z60" s="123" t="e">
        <f t="shared" si="10"/>
        <v>#DIV/0!</v>
      </c>
      <c r="AA60" s="123" t="e">
        <f t="shared" si="11"/>
        <v>#DIV/0!</v>
      </c>
      <c r="AB60" s="123" t="e">
        <f t="shared" si="12"/>
        <v>#DIV/0!</v>
      </c>
      <c r="AC60" s="123" t="e">
        <f t="shared" si="13"/>
        <v>#DIV/0!</v>
      </c>
      <c r="AD60" s="123" t="e">
        <f t="shared" si="14"/>
        <v>#DIV/0!</v>
      </c>
      <c r="AE60" s="123" t="e">
        <f>IF(K60&gt;$E$66/2,Table2[[#This Row],[Drag]],0)</f>
        <v>#DIV/0!</v>
      </c>
      <c r="AF60" s="123" t="e">
        <f>IF(K60&gt;$E$66,Table2[[#This Row],[Moment (x-z)]],0)</f>
        <v>#DIV/0!</v>
      </c>
    </row>
    <row r="61" spans="2:32" ht="33" customHeight="1">
      <c r="B61" s="1" t="s">
        <v>484</v>
      </c>
      <c r="C61" s="1">
        <f>J65</f>
        <v>21</v>
      </c>
      <c r="J61" s="13">
        <v>17</v>
      </c>
      <c r="K61" s="123">
        <f t="shared" si="20"/>
        <v>0.11785714285714288</v>
      </c>
      <c r="L61" s="125">
        <f t="shared" si="0"/>
        <v>2.1958638319839965</v>
      </c>
      <c r="M61" s="123">
        <f t="shared" si="1"/>
        <v>0.14285714285714282</v>
      </c>
      <c r="N61" s="123">
        <f t="shared" si="18"/>
        <v>0.9375</v>
      </c>
      <c r="O61" s="123">
        <f t="shared" si="19"/>
        <v>0.13844086021505372</v>
      </c>
      <c r="P61" s="123">
        <f t="shared" si="15"/>
        <v>1.0544217687074827E-3</v>
      </c>
      <c r="Q61" s="123">
        <f t="shared" si="16"/>
        <v>1.0204081632653062E-3</v>
      </c>
      <c r="R61" s="123" t="e">
        <f t="shared" si="3"/>
        <v>#DIV/0!</v>
      </c>
      <c r="S61" s="123">
        <f t="shared" si="4"/>
        <v>100</v>
      </c>
      <c r="T61" s="123">
        <f t="shared" si="5"/>
        <v>4</v>
      </c>
      <c r="U61" s="123">
        <f t="shared" si="6"/>
        <v>2.2906100426385296</v>
      </c>
      <c r="V61" s="123" t="e">
        <f t="shared" si="7"/>
        <v>#DIV/0!</v>
      </c>
      <c r="W61" s="123" t="e">
        <f t="shared" si="8"/>
        <v>#DIV/0!</v>
      </c>
      <c r="X61" s="123" t="e">
        <f t="shared" si="9"/>
        <v>#DIV/0!</v>
      </c>
      <c r="Y61" s="123" t="e">
        <f t="shared" si="17"/>
        <v>#DIV/0!</v>
      </c>
      <c r="Z61" s="123" t="e">
        <f t="shared" si="10"/>
        <v>#DIV/0!</v>
      </c>
      <c r="AA61" s="123" t="e">
        <f t="shared" si="11"/>
        <v>#DIV/0!</v>
      </c>
      <c r="AB61" s="123" t="e">
        <f t="shared" si="12"/>
        <v>#DIV/0!</v>
      </c>
      <c r="AC61" s="123" t="e">
        <f t="shared" si="13"/>
        <v>#DIV/0!</v>
      </c>
      <c r="AD61" s="123" t="e">
        <f t="shared" si="14"/>
        <v>#DIV/0!</v>
      </c>
      <c r="AE61" s="123" t="e">
        <f>IF(K61&gt;$E$66/2,Table2[[#This Row],[Drag]],0)</f>
        <v>#DIV/0!</v>
      </c>
      <c r="AF61" s="123" t="e">
        <f>IF(K61&gt;$E$66,Table2[[#This Row],[Moment (x-z)]],0)</f>
        <v>#DIV/0!</v>
      </c>
    </row>
    <row r="62" spans="2:32" ht="28.5">
      <c r="B62" s="1" t="s">
        <v>485</v>
      </c>
      <c r="C62" s="1">
        <f>(2*PI()*COS(E52))/(SQRT(1+((2*PI()*COS(E52))/(PI()*C56))^2)+((2*PI()*COS(E52))/(PI()*$C$56)))</f>
        <v>2.0943951023931953</v>
      </c>
      <c r="D62" s="1" t="s">
        <v>201</v>
      </c>
      <c r="E62" s="13">
        <f>2*PI()</f>
        <v>6.2831853071795862</v>
      </c>
      <c r="F62" s="13" t="s">
        <v>486</v>
      </c>
      <c r="J62" s="13">
        <v>18</v>
      </c>
      <c r="K62" s="123">
        <f t="shared" si="20"/>
        <v>0.12500000000000003</v>
      </c>
      <c r="L62" s="125">
        <f t="shared" si="0"/>
        <v>2.0494729098517301</v>
      </c>
      <c r="M62" s="123">
        <f t="shared" si="1"/>
        <v>0.1333333333333333</v>
      </c>
      <c r="N62" s="123">
        <f t="shared" si="18"/>
        <v>0.93333333333333335</v>
      </c>
      <c r="O62" s="123">
        <f t="shared" si="19"/>
        <v>0.12893997445721581</v>
      </c>
      <c r="P62" s="123">
        <f t="shared" si="15"/>
        <v>9.8639455782312886E-4</v>
      </c>
      <c r="Q62" s="123">
        <f t="shared" si="16"/>
        <v>9.5238095238095249E-4</v>
      </c>
      <c r="R62" s="123" t="e">
        <f t="shared" si="3"/>
        <v>#DIV/0!</v>
      </c>
      <c r="S62" s="123">
        <f t="shared" si="4"/>
        <v>100</v>
      </c>
      <c r="T62" s="123">
        <f t="shared" si="5"/>
        <v>4</v>
      </c>
      <c r="U62" s="123">
        <f t="shared" si="6"/>
        <v>2.2906100426385296</v>
      </c>
      <c r="V62" s="123" t="e">
        <f t="shared" si="7"/>
        <v>#DIV/0!</v>
      </c>
      <c r="W62" s="123" t="e">
        <f t="shared" si="8"/>
        <v>#DIV/0!</v>
      </c>
      <c r="X62" s="123" t="e">
        <f t="shared" si="9"/>
        <v>#DIV/0!</v>
      </c>
      <c r="Y62" s="123" t="e">
        <f t="shared" si="17"/>
        <v>#DIV/0!</v>
      </c>
      <c r="Z62" s="123" t="e">
        <f t="shared" si="10"/>
        <v>#DIV/0!</v>
      </c>
      <c r="AA62" s="123" t="e">
        <f t="shared" si="11"/>
        <v>#DIV/0!</v>
      </c>
      <c r="AB62" s="123" t="e">
        <f t="shared" si="12"/>
        <v>#DIV/0!</v>
      </c>
      <c r="AC62" s="123" t="e">
        <f t="shared" si="13"/>
        <v>#DIV/0!</v>
      </c>
      <c r="AD62" s="123" t="e">
        <f t="shared" si="14"/>
        <v>#DIV/0!</v>
      </c>
      <c r="AE62" s="123" t="e">
        <f>IF(K62&gt;$E$66/2,Table2[[#This Row],[Drag]],0)</f>
        <v>#DIV/0!</v>
      </c>
      <c r="AF62" s="123" t="e">
        <f>IF(K62&gt;$E$66,Table2[[#This Row],[Moment (x-z)]],0)</f>
        <v>#DIV/0!</v>
      </c>
    </row>
    <row r="63" spans="2:32">
      <c r="B63" s="1" t="s">
        <v>487</v>
      </c>
      <c r="C63" s="1">
        <v>0.04</v>
      </c>
      <c r="D63" s="1" t="s">
        <v>201</v>
      </c>
      <c r="J63" s="13">
        <v>19</v>
      </c>
      <c r="K63" s="123">
        <f t="shared" si="20"/>
        <v>0.13214285714285717</v>
      </c>
      <c r="L63" s="125">
        <f t="shared" si="0"/>
        <v>1.9030819877194634</v>
      </c>
      <c r="M63" s="123">
        <f t="shared" si="1"/>
        <v>0.12380952380952376</v>
      </c>
      <c r="N63" s="123">
        <f t="shared" si="18"/>
        <v>0.92857142857142838</v>
      </c>
      <c r="O63" s="123">
        <f t="shared" si="19"/>
        <v>0.11944234483917017</v>
      </c>
      <c r="P63" s="123">
        <f t="shared" si="15"/>
        <v>9.1836734693877525E-4</v>
      </c>
      <c r="Q63" s="123">
        <f t="shared" si="16"/>
        <v>8.8435374149659855E-4</v>
      </c>
      <c r="R63" s="123" t="e">
        <f t="shared" si="3"/>
        <v>#DIV/0!</v>
      </c>
      <c r="S63" s="123">
        <f t="shared" si="4"/>
        <v>100</v>
      </c>
      <c r="T63" s="123">
        <f t="shared" si="5"/>
        <v>4</v>
      </c>
      <c r="U63" s="123">
        <f t="shared" si="6"/>
        <v>2.2906100426385296</v>
      </c>
      <c r="V63" s="123" t="e">
        <f t="shared" si="7"/>
        <v>#DIV/0!</v>
      </c>
      <c r="W63" s="123" t="e">
        <f t="shared" si="8"/>
        <v>#DIV/0!</v>
      </c>
      <c r="X63" s="123" t="e">
        <f t="shared" si="9"/>
        <v>#DIV/0!</v>
      </c>
      <c r="Y63" s="123" t="e">
        <f t="shared" si="17"/>
        <v>#DIV/0!</v>
      </c>
      <c r="Z63" s="123" t="e">
        <f t="shared" si="10"/>
        <v>#DIV/0!</v>
      </c>
      <c r="AA63" s="123" t="e">
        <f t="shared" si="11"/>
        <v>#DIV/0!</v>
      </c>
      <c r="AB63" s="123" t="e">
        <f t="shared" si="12"/>
        <v>#DIV/0!</v>
      </c>
      <c r="AC63" s="123" t="e">
        <f t="shared" si="13"/>
        <v>#DIV/0!</v>
      </c>
      <c r="AD63" s="123" t="e">
        <f t="shared" si="14"/>
        <v>#DIV/0!</v>
      </c>
      <c r="AE63" s="123" t="e">
        <f>IF(K63&gt;$E$66/2,Table2[[#This Row],[Drag]],0)</f>
        <v>#DIV/0!</v>
      </c>
      <c r="AF63" s="123" t="e">
        <f>IF(K63&gt;$E$66,Table2[[#This Row],[Moment (x-z)]],0)</f>
        <v>#DIV/0!</v>
      </c>
    </row>
    <row r="64" spans="2:32">
      <c r="B64" s="1" t="s">
        <v>84</v>
      </c>
      <c r="C64" s="95">
        <f>C17</f>
        <v>2.2906100426385296</v>
      </c>
      <c r="D64" s="1" t="s">
        <v>224</v>
      </c>
      <c r="E64" s="13">
        <f>RADIANS(C64)</f>
        <v>3.9978687123290044E-2</v>
      </c>
      <c r="J64" s="13">
        <v>20</v>
      </c>
      <c r="K64" s="123">
        <f t="shared" si="20"/>
        <v>0.13928571428571432</v>
      </c>
      <c r="L64" s="125">
        <f t="shared" si="0"/>
        <v>1.756691065587197</v>
      </c>
      <c r="M64" s="123">
        <f t="shared" si="1"/>
        <v>0.11428571428571424</v>
      </c>
      <c r="N64" s="123">
        <f t="shared" si="18"/>
        <v>0.92307692307692313</v>
      </c>
      <c r="O64" s="123">
        <f t="shared" si="19"/>
        <v>0.1099487179487179</v>
      </c>
      <c r="P64" s="123">
        <f t="shared" si="15"/>
        <v>8.5034013605442141E-4</v>
      </c>
      <c r="Q64" s="123">
        <f t="shared" si="16"/>
        <v>8.1632653061224482E-4</v>
      </c>
      <c r="R64" s="123" t="e">
        <f t="shared" si="3"/>
        <v>#DIV/0!</v>
      </c>
      <c r="S64" s="123">
        <f t="shared" si="4"/>
        <v>100</v>
      </c>
      <c r="T64" s="123">
        <f t="shared" si="5"/>
        <v>4</v>
      </c>
      <c r="U64" s="123">
        <f t="shared" si="6"/>
        <v>2.2906100426385296</v>
      </c>
      <c r="V64" s="123" t="e">
        <f t="shared" si="7"/>
        <v>#DIV/0!</v>
      </c>
      <c r="W64" s="123" t="e">
        <f t="shared" si="8"/>
        <v>#DIV/0!</v>
      </c>
      <c r="X64" s="123" t="e">
        <f t="shared" si="9"/>
        <v>#DIV/0!</v>
      </c>
      <c r="Y64" s="123" t="e">
        <f t="shared" si="17"/>
        <v>#DIV/0!</v>
      </c>
      <c r="Z64" s="123" t="e">
        <f t="shared" si="10"/>
        <v>#DIV/0!</v>
      </c>
      <c r="AA64" s="123" t="e">
        <f t="shared" si="11"/>
        <v>#DIV/0!</v>
      </c>
      <c r="AB64" s="123" t="e">
        <f t="shared" si="12"/>
        <v>#DIV/0!</v>
      </c>
      <c r="AC64" s="123" t="e">
        <f t="shared" si="13"/>
        <v>#DIV/0!</v>
      </c>
      <c r="AD64" s="123" t="e">
        <f t="shared" si="14"/>
        <v>#DIV/0!</v>
      </c>
      <c r="AE64" s="123" t="e">
        <f>IF(K64&gt;$E$66/2,Table2[[#This Row],[Drag]],0)</f>
        <v>#DIV/0!</v>
      </c>
      <c r="AF64" s="123" t="e">
        <f>IF(K64&gt;$E$66,Table2[[#This Row],[Moment (x-z)]],0)</f>
        <v>#DIV/0!</v>
      </c>
    </row>
    <row r="65" spans="2:32">
      <c r="B65" s="1" t="s">
        <v>488</v>
      </c>
      <c r="C65" s="1">
        <v>20</v>
      </c>
      <c r="D65" s="1" t="s">
        <v>116</v>
      </c>
      <c r="E65" s="13">
        <f>C65*(3600/1000)</f>
        <v>72</v>
      </c>
      <c r="F65" s="13" t="s">
        <v>425</v>
      </c>
      <c r="J65" s="13">
        <v>21</v>
      </c>
      <c r="K65" s="123">
        <f t="shared" si="20"/>
        <v>0.14642857142857146</v>
      </c>
      <c r="L65" s="125">
        <f t="shared" si="0"/>
        <v>1.6103001434549307</v>
      </c>
      <c r="M65" s="123">
        <f t="shared" si="1"/>
        <v>0.10476190476190472</v>
      </c>
      <c r="N65" s="123">
        <f>M65/M64</f>
        <v>0.91666666666666674</v>
      </c>
      <c r="O65" s="123">
        <f>(2/3)*M65*((N65^2+N65+1)/(N65+1))</f>
        <v>0.10046008741660911</v>
      </c>
      <c r="P65" s="123">
        <f t="shared" si="15"/>
        <v>7.8231292517006769E-4</v>
      </c>
      <c r="Q65" s="123">
        <f t="shared" si="16"/>
        <v>7.4829931972789109E-4</v>
      </c>
      <c r="R65" s="123" t="e">
        <f t="shared" si="3"/>
        <v>#DIV/0!</v>
      </c>
      <c r="S65" s="123">
        <f t="shared" si="4"/>
        <v>100</v>
      </c>
      <c r="T65" s="123">
        <f t="shared" si="5"/>
        <v>4</v>
      </c>
      <c r="U65" s="123">
        <f t="shared" si="6"/>
        <v>2.2906100426385296</v>
      </c>
      <c r="V65" s="123" t="e">
        <f t="shared" si="7"/>
        <v>#DIV/0!</v>
      </c>
      <c r="W65" s="123" t="e">
        <f t="shared" si="8"/>
        <v>#DIV/0!</v>
      </c>
      <c r="X65" s="123" t="e">
        <f t="shared" si="9"/>
        <v>#DIV/0!</v>
      </c>
      <c r="Y65" s="123" t="e">
        <f t="shared" si="17"/>
        <v>#DIV/0!</v>
      </c>
      <c r="Z65" s="123" t="e">
        <f t="shared" si="10"/>
        <v>#DIV/0!</v>
      </c>
      <c r="AA65" s="123" t="e">
        <f t="shared" si="11"/>
        <v>#DIV/0!</v>
      </c>
      <c r="AB65" s="123" t="e">
        <f t="shared" si="12"/>
        <v>#DIV/0!</v>
      </c>
      <c r="AC65" s="123" t="e">
        <f t="shared" si="13"/>
        <v>#DIV/0!</v>
      </c>
      <c r="AD65" s="123" t="e">
        <f t="shared" si="14"/>
        <v>#DIV/0!</v>
      </c>
      <c r="AE65" s="123" t="e">
        <f>IF(K65&gt;$E$66/2,Table2[[#This Row],[Drag]],0)</f>
        <v>#DIV/0!</v>
      </c>
      <c r="AF65" s="123" t="e">
        <f>IF(K65&gt;$E$66,Table2[[#This Row],[Moment (x-z)]],0)</f>
        <v>#DIV/0!</v>
      </c>
    </row>
    <row r="66" spans="2:32" ht="28.5">
      <c r="B66" s="1" t="s">
        <v>489</v>
      </c>
      <c r="C66" s="1">
        <v>8</v>
      </c>
      <c r="D66" s="1" t="s">
        <v>203</v>
      </c>
      <c r="E66" s="13">
        <f>C66/100</f>
        <v>0.08</v>
      </c>
      <c r="F66" s="13" t="s">
        <v>204</v>
      </c>
      <c r="K66" s="123"/>
      <c r="L66" s="125"/>
      <c r="M66" s="123"/>
      <c r="N66" s="123"/>
      <c r="O66" s="123"/>
      <c r="P66" s="123"/>
      <c r="Q66" s="123"/>
      <c r="R66" s="123"/>
      <c r="S66" s="123"/>
      <c r="T66" s="123"/>
      <c r="U66" s="123"/>
      <c r="V66" s="123"/>
      <c r="W66" s="123"/>
      <c r="X66" s="123"/>
      <c r="Y66" s="123"/>
      <c r="Z66" s="123"/>
      <c r="AA66" s="123" t="e">
        <f>SUM(Table2[Lift])</f>
        <v>#DIV/0!</v>
      </c>
      <c r="AB66" s="123" t="e">
        <f>SUM(Table2[Drag])</f>
        <v>#DIV/0!</v>
      </c>
      <c r="AC66" s="129" t="e">
        <f>SUM(Table2[Moment (x-z)])</f>
        <v>#DIV/0!</v>
      </c>
      <c r="AD66" s="123" t="e">
        <f>SUM(Table2[Lift (interfered])</f>
        <v>#DIV/0!</v>
      </c>
      <c r="AE66" s="123" t="e">
        <f>SUM(Table2[Drag (interfered)])</f>
        <v>#DIV/0!</v>
      </c>
      <c r="AF66" s="123" t="e">
        <f>SUM(Table2[Moment (interfered)])</f>
        <v>#DIV/0!</v>
      </c>
    </row>
    <row r="67" spans="2:32" ht="25.15" customHeight="1">
      <c r="B67" s="1" t="s">
        <v>490</v>
      </c>
      <c r="C67" s="1">
        <f>(C54-C66)/2</f>
        <v>11</v>
      </c>
      <c r="D67" s="1" t="s">
        <v>491</v>
      </c>
      <c r="E67" s="13">
        <f>C67/100</f>
        <v>0.11</v>
      </c>
      <c r="F67" s="13" t="s">
        <v>204</v>
      </c>
      <c r="G67" s="13" t="s">
        <v>261</v>
      </c>
    </row>
  </sheetData>
  <mergeCells count="14">
    <mergeCell ref="B44:F44"/>
    <mergeCell ref="B2:F2"/>
    <mergeCell ref="B43:F43"/>
    <mergeCell ref="F17:F18"/>
    <mergeCell ref="F19:F21"/>
    <mergeCell ref="F22:F24"/>
    <mergeCell ref="B7:F7"/>
    <mergeCell ref="B3:F3"/>
    <mergeCell ref="F8:F10"/>
    <mergeCell ref="F4:F6"/>
    <mergeCell ref="D4:D6"/>
    <mergeCell ref="D8:D10"/>
    <mergeCell ref="D19:D21"/>
    <mergeCell ref="D22:D24"/>
  </mergeCells>
  <phoneticPr fontId="15" type="noConversion"/>
  <conditionalFormatting sqref="C11 C13">
    <cfRule type="cellIs" dxfId="8" priority="7" operator="greaterThanOrEqual">
      <formula>1</formula>
    </cfRule>
    <cfRule type="cellIs" dxfId="7" priority="8" operator="greaterThanOrEqual">
      <formula>0.7</formula>
    </cfRule>
    <cfRule type="cellIs" dxfId="6" priority="9" operator="greaterThanOrEqual">
      <formula>0.3</formula>
    </cfRule>
  </conditionalFormatting>
  <conditionalFormatting sqref="C12">
    <cfRule type="cellIs" dxfId="5" priority="5" operator="equal">
      <formula>"$C$11&gt;0.3"</formula>
    </cfRule>
  </conditionalFormatting>
  <conditionalFormatting sqref="E12:E13">
    <cfRule type="cellIs" dxfId="4" priority="16" operator="greaterThanOrEqual">
      <formula>1</formula>
    </cfRule>
    <cfRule type="cellIs" dxfId="3" priority="17" operator="greaterThanOrEqual">
      <formula>0.7</formula>
    </cfRule>
    <cfRule type="cellIs" dxfId="2" priority="18" operator="greaterThanOrEqual">
      <formula>0.3</formula>
    </cfRule>
  </conditionalFormatting>
  <conditionalFormatting sqref="K45:K65">
    <cfRule type="cellIs" dxfId="1" priority="2" operator="greaterThan">
      <formula>$E$66/2</formula>
    </cfRule>
  </conditionalFormatting>
  <conditionalFormatting sqref="R45:R65">
    <cfRule type="cellIs" dxfId="0" priority="1" operator="equal">
      <formula>0</formula>
    </cfRule>
  </conditionalFormatting>
  <pageMargins left="0.7" right="0.7" top="0.75" bottom="0.75" header="0.3" footer="0.3"/>
  <pageSetup orientation="portrait" r:id="rId2"/>
  <customProperties>
    <customPr name="DynardoMOPSolver" r:id="rId3"/>
  </customProperties>
  <drawing r:id="rId4"/>
  <legacyDrawing r:id="rId5"/>
  <tableParts count="1">
    <tablePart r:id="rId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416C8A108E61840AFB84A4598B73E55" ma:contentTypeVersion="13" ma:contentTypeDescription="Create a new document." ma:contentTypeScope="" ma:versionID="b1d8d0092a91b491fa162699921cd7b6">
  <xsd:schema xmlns:xsd="http://www.w3.org/2001/XMLSchema" xmlns:xs="http://www.w3.org/2001/XMLSchema" xmlns:p="http://schemas.microsoft.com/office/2006/metadata/properties" xmlns:ns2="f5cf7016-d570-4e66-bed5-9c66354e4d60" xmlns:ns3="d7929c02-2ff7-4e2f-b3f4-5d7437463a37" targetNamespace="http://schemas.microsoft.com/office/2006/metadata/properties" ma:root="true" ma:fieldsID="dc769dae83c42ca581dc5110a4ef7ce3" ns2:_="" ns3:_="">
    <xsd:import namespace="f5cf7016-d570-4e66-bed5-9c66354e4d60"/>
    <xsd:import namespace="d7929c02-2ff7-4e2f-b3f4-5d7437463a37"/>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LengthInSeconds" minOccurs="0"/>
                <xsd:element ref="ns2:MediaServiceDateTaken" minOccurs="0"/>
                <xsd:element ref="ns2:MediaServiceGenerationTime" minOccurs="0"/>
                <xsd:element ref="ns2:MediaServiceEventHashCode"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cf7016-d570-4e66-bed5-9c66354e4d6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99375edc-ecdf-4f5c-9a1f-fe3446fc7989"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7929c02-2ff7-4e2f-b3f4-5d7437463a37"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787f79f0-00bf-4ada-a9c4-09416d341803}" ma:internalName="TaxCatchAll" ma:showField="CatchAllData" ma:web="d7929c02-2ff7-4e2f-b3f4-5d7437463a3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scriptIds xmlns="http://schemas.microsoft.com/office/extensibility/maker/v1.0" id="script-ids-node-id">
  <scriptId id="ms-officescript%3A%2F%2Fonedrive_business_itemlink%2F01TZZHJOP2CWSL3XUZNNHKHVGU4KCQQGAX:ms-officescript%3A%2F%2Fonedrive_business_sharinglink%2Fu!aHR0cHM6Ly91YW5sZWR1LW15LnNoYXJlcG9pbnQuY29tLzp1Oi9nL3BlcnNvbmFsL2p1YW5fdmFsYWRlem9fdWFubF9lZHVfbXgvRWZvVnBMM2VtV3RPbzlUVTRvVUlHQmNCRlJyQnlnX2V0OW1LWVd3VTNFU3NaUQ"/>
</scriptId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TaxCatchAll xmlns="d7929c02-2ff7-4e2f-b3f4-5d7437463a37" xsi:nil="true"/>
    <lcf76f155ced4ddcb4097134ff3c332f xmlns="f5cf7016-d570-4e66-bed5-9c66354e4d6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B0BA7C14-35B6-43AC-B57B-4A5107295D2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cf7016-d570-4e66-bed5-9c66354e4d60"/>
    <ds:schemaRef ds:uri="d7929c02-2ff7-4e2f-b3f4-5d7437463a3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E15861E-CBEF-4CC0-85FE-9F52CCE55DFF}">
  <ds:schemaRefs>
    <ds:schemaRef ds:uri="http://schemas.microsoft.com/office/extensibility/maker/v1.0"/>
  </ds:schemaRefs>
</ds:datastoreItem>
</file>

<file path=customXml/itemProps3.xml><?xml version="1.0" encoding="utf-8"?>
<ds:datastoreItem xmlns:ds="http://schemas.openxmlformats.org/officeDocument/2006/customXml" ds:itemID="{D345C14D-6BDC-44A0-B15C-89E893AF066E}">
  <ds:schemaRefs>
    <ds:schemaRef ds:uri="http://schemas.microsoft.com/sharepoint/v3/contenttype/forms"/>
  </ds:schemaRefs>
</ds:datastoreItem>
</file>

<file path=customXml/itemProps4.xml><?xml version="1.0" encoding="utf-8"?>
<ds:datastoreItem xmlns:ds="http://schemas.openxmlformats.org/officeDocument/2006/customXml" ds:itemID="{E42FDC09-86A2-4A8D-9C5A-BD852817852F}">
  <ds:schemaRefs>
    <ds:schemaRef ds:uri="http://www.w3.org/XML/1998/namespace"/>
    <ds:schemaRef ds:uri="http://schemas.microsoft.com/office/2006/metadata/properties"/>
    <ds:schemaRef ds:uri="http://purl.org/dc/terms/"/>
    <ds:schemaRef ds:uri="http://purl.org/dc/dcmitype/"/>
    <ds:schemaRef ds:uri="http://schemas.microsoft.com/office/infopath/2007/PartnerControls"/>
    <ds:schemaRef ds:uri="http://schemas.microsoft.com/office/2006/documentManagement/types"/>
    <ds:schemaRef ds:uri="http://purl.org/dc/elements/1.1/"/>
    <ds:schemaRef ds:uri="http://schemas.openxmlformats.org/package/2006/metadata/core-properties"/>
    <ds:schemaRef ds:uri="d7929c02-2ff7-4e2f-b3f4-5d7437463a37"/>
    <ds:schemaRef ds:uri="f5cf7016-d570-4e66-bed5-9c66354e4d6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Manual rev.1</vt:lpstr>
      <vt:lpstr>Statistics</vt:lpstr>
      <vt:lpstr>Geometry</vt:lpstr>
      <vt:lpstr>Forces balance</vt:lpstr>
      <vt:lpstr>Worst Load</vt:lpstr>
      <vt:lpstr>FinAeroDesign 2.0</vt:lpstr>
      <vt:lpstr>CFD fins</vt:lpstr>
      <vt:lpstr>RocketData</vt:lpstr>
      <vt:lpstr>Aerodynamic design</vt:lpstr>
      <vt:lpstr>Stability</vt:lpstr>
      <vt:lpstr>CFD forebody</vt:lpstr>
      <vt:lpstr>CFD fuselage</vt:lpstr>
      <vt:lpstr>CFD boat-tail</vt:lpstr>
      <vt:lpstr>CFD rocket</vt:lpstr>
      <vt:lpstr>OpenRocket</vt:lpstr>
      <vt:lpstr>Airflow</vt:lpstr>
      <vt:lpstr>AoAfins</vt:lpstr>
      <vt:lpstr>AoSfins</vt:lpstr>
      <vt:lpstr>CrossSecAreaRocket</vt:lpstr>
      <vt:lpstr>DiameterRocket</vt:lpstr>
      <vt:lpstr>LargeOgive</vt:lpstr>
      <vt:lpstr>LengthRocket</vt:lpstr>
      <vt:lpstr>Rogive</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Leonardo Valadez Ortiz</cp:lastModifiedBy>
  <cp:revision/>
  <dcterms:created xsi:type="dcterms:W3CDTF">2024-07-02T19:27:32Z</dcterms:created>
  <dcterms:modified xsi:type="dcterms:W3CDTF">2025-07-10T20:42:54Z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0x0101006416C8A108E61840AFB84A4598B73E55</vt:lpwstr>
  </property>
  <property fmtid="{D5CDD505-2E9C-101B-9397-08002B2CF9AE}" pid="3" name="MediaServiceImageTags">
    <vt:lpwstr/>
  </property>
</Properties>
</file>