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ustomProperty5.bin" ContentType="application/vnd.openxmlformats-officedocument.spreadsheetml.customProperty"/>
  <Override PartName="/xl/drawings/drawing6.xml" ContentType="application/vnd.openxmlformats-officedocument.drawing+xml"/>
  <Override PartName="/xl/customProperty6.bin" ContentType="application/vnd.openxmlformats-officedocument.spreadsheetml.customProperty"/>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8.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Engineering\01 Repos\Recovery-systems\"/>
    </mc:Choice>
  </mc:AlternateContent>
  <xr:revisionPtr revIDLastSave="0" documentId="13_ncr:1_{77C04988-5456-4ACB-AB53-F7D407CC8BFB}" xr6:coauthVersionLast="47" xr6:coauthVersionMax="47" xr10:uidLastSave="{00000000-0000-0000-0000-000000000000}"/>
  <bookViews>
    <workbookView xWindow="-110" yWindow="-110" windowWidth="19420" windowHeight="11500" tabRatio="864" firstSheet="1" activeTab="6" xr2:uid="{00000000-000D-0000-FFFF-FFFF00000000}"/>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9" l="1"/>
  <c r="C63" i="9"/>
  <c r="D63" i="9"/>
  <c r="E63" i="9"/>
  <c r="F63" i="9"/>
  <c r="G63" i="9"/>
  <c r="B63" i="9"/>
  <c r="B54" i="9"/>
  <c r="C54" i="9"/>
  <c r="D54" i="9"/>
  <c r="E54" i="9"/>
  <c r="F54" i="9"/>
  <c r="G54" i="9"/>
  <c r="H54" i="9"/>
  <c r="B71" i="9"/>
  <c r="C71" i="9"/>
  <c r="D71" i="9"/>
  <c r="E71" i="9"/>
  <c r="F71" i="9"/>
  <c r="G71" i="9"/>
  <c r="H71" i="9"/>
  <c r="N26" i="9"/>
  <c r="C3" i="9"/>
  <c r="D3" i="9"/>
  <c r="E3" i="9"/>
  <c r="F3" i="9"/>
  <c r="G3" i="9"/>
  <c r="H3" i="9"/>
  <c r="I3" i="9"/>
  <c r="J3" i="9"/>
  <c r="K3" i="9"/>
  <c r="B3" i="9"/>
  <c r="N24" i="9"/>
  <c r="C2" i="9"/>
  <c r="D2" i="9"/>
  <c r="E2" i="9"/>
  <c r="F2" i="9"/>
  <c r="G2" i="9"/>
  <c r="H2" i="9"/>
  <c r="I2" i="9"/>
  <c r="J2" i="9"/>
  <c r="K2" i="9"/>
  <c r="B2" i="9"/>
  <c r="B17" i="17"/>
  <c r="K168" i="17"/>
  <c r="J168" i="17"/>
  <c r="K167" i="17"/>
  <c r="J167" i="17"/>
  <c r="K166" i="17"/>
  <c r="J166" i="17"/>
  <c r="K165" i="17"/>
  <c r="J165" i="17"/>
  <c r="K164" i="17"/>
  <c r="J164" i="17"/>
  <c r="K102" i="17"/>
  <c r="J102" i="17"/>
  <c r="K95" i="17"/>
  <c r="J95" i="17"/>
  <c r="K55" i="17"/>
  <c r="J55" i="17"/>
  <c r="K48" i="17"/>
  <c r="K54" i="17" s="1"/>
  <c r="K57" i="17" s="1"/>
  <c r="J48" i="17"/>
  <c r="J54" i="17" s="1"/>
  <c r="J57" i="17" s="1"/>
  <c r="K44" i="17"/>
  <c r="J44" i="17"/>
  <c r="K42" i="17"/>
  <c r="J42" i="17"/>
  <c r="K40" i="17"/>
  <c r="J40" i="17"/>
  <c r="K38" i="17"/>
  <c r="J38" i="17"/>
  <c r="J224" i="17" s="1"/>
  <c r="K17" i="17"/>
  <c r="K19" i="17" s="1"/>
  <c r="J17" i="17"/>
  <c r="J18" i="17" s="1"/>
  <c r="K12" i="17"/>
  <c r="J12" i="17"/>
  <c r="K11" i="17"/>
  <c r="J11" i="17"/>
  <c r="I168" i="17"/>
  <c r="H168" i="17"/>
  <c r="G168" i="17"/>
  <c r="F168" i="17"/>
  <c r="E168" i="17"/>
  <c r="D168" i="17"/>
  <c r="C168" i="17"/>
  <c r="I167" i="17"/>
  <c r="H167" i="17"/>
  <c r="G167" i="17"/>
  <c r="F167" i="17"/>
  <c r="E167" i="17"/>
  <c r="D167" i="17"/>
  <c r="C167" i="17"/>
  <c r="I166" i="17"/>
  <c r="H166" i="17"/>
  <c r="G166" i="17"/>
  <c r="F166" i="17"/>
  <c r="E166" i="17"/>
  <c r="D166" i="17"/>
  <c r="C166" i="17"/>
  <c r="I165" i="17"/>
  <c r="H165" i="17"/>
  <c r="G165" i="17"/>
  <c r="F165" i="17"/>
  <c r="E165" i="17"/>
  <c r="D165" i="17"/>
  <c r="C165" i="17"/>
  <c r="I164" i="17"/>
  <c r="H164" i="17"/>
  <c r="G164" i="17"/>
  <c r="F164" i="17"/>
  <c r="E164" i="17"/>
  <c r="D164" i="17"/>
  <c r="C164" i="17"/>
  <c r="I102" i="17"/>
  <c r="H102" i="17"/>
  <c r="G102" i="17"/>
  <c r="F102" i="17"/>
  <c r="E102" i="17"/>
  <c r="D102" i="17"/>
  <c r="C102" i="17"/>
  <c r="I95" i="17"/>
  <c r="H95" i="17"/>
  <c r="G95" i="17"/>
  <c r="F95" i="17"/>
  <c r="E95" i="17"/>
  <c r="D95" i="17"/>
  <c r="C95" i="17"/>
  <c r="I55" i="17"/>
  <c r="H55" i="17"/>
  <c r="G55" i="17"/>
  <c r="F55" i="17"/>
  <c r="E55" i="17"/>
  <c r="D55" i="17"/>
  <c r="C55" i="17"/>
  <c r="D54" i="17"/>
  <c r="D57" i="17" s="1"/>
  <c r="D58" i="17" s="1"/>
  <c r="I48" i="17"/>
  <c r="I54" i="17" s="1"/>
  <c r="I57" i="17" s="1"/>
  <c r="H48" i="17"/>
  <c r="H54" i="17" s="1"/>
  <c r="H57" i="17" s="1"/>
  <c r="G48" i="17"/>
  <c r="G54" i="17" s="1"/>
  <c r="G57" i="17" s="1"/>
  <c r="F48" i="17"/>
  <c r="F54" i="17" s="1"/>
  <c r="F57" i="17" s="1"/>
  <c r="E48" i="17"/>
  <c r="E54" i="17" s="1"/>
  <c r="E57" i="17" s="1"/>
  <c r="D48" i="17"/>
  <c r="C48" i="17"/>
  <c r="C54" i="17" s="1"/>
  <c r="C57" i="17" s="1"/>
  <c r="I44" i="17"/>
  <c r="H44" i="17"/>
  <c r="G44" i="17"/>
  <c r="F44" i="17"/>
  <c r="E44" i="17"/>
  <c r="D44" i="17"/>
  <c r="C44" i="17"/>
  <c r="I42" i="17"/>
  <c r="H42" i="17"/>
  <c r="G42" i="17"/>
  <c r="F42" i="17"/>
  <c r="E42" i="17"/>
  <c r="D42" i="17"/>
  <c r="C42" i="17"/>
  <c r="I40" i="17"/>
  <c r="H40" i="17"/>
  <c r="G40" i="17"/>
  <c r="F40" i="17"/>
  <c r="E40" i="17"/>
  <c r="D40" i="17"/>
  <c r="C40" i="17"/>
  <c r="I38" i="17"/>
  <c r="H38" i="17"/>
  <c r="G38" i="17"/>
  <c r="G105" i="17" s="1"/>
  <c r="F38" i="17"/>
  <c r="E38" i="17"/>
  <c r="D38" i="17"/>
  <c r="D105" i="17" s="1"/>
  <c r="C38" i="17"/>
  <c r="E18" i="17"/>
  <c r="I17" i="17"/>
  <c r="I19" i="17" s="1"/>
  <c r="H17" i="17"/>
  <c r="H19" i="17" s="1"/>
  <c r="G17" i="17"/>
  <c r="G19" i="17" s="1"/>
  <c r="F17" i="17"/>
  <c r="E17" i="17"/>
  <c r="E8" i="17" s="1"/>
  <c r="E2" i="17" s="1"/>
  <c r="E4" i="17" s="1"/>
  <c r="D17" i="17"/>
  <c r="D18" i="17" s="1"/>
  <c r="C17" i="17"/>
  <c r="C18" i="17" s="1"/>
  <c r="I12" i="17"/>
  <c r="H12" i="17"/>
  <c r="G12" i="17"/>
  <c r="F12" i="17"/>
  <c r="E12" i="17"/>
  <c r="D12" i="17"/>
  <c r="C12" i="17"/>
  <c r="I11" i="17"/>
  <c r="H11" i="17"/>
  <c r="G11" i="17"/>
  <c r="F11" i="17"/>
  <c r="E11" i="17"/>
  <c r="D11" i="17"/>
  <c r="C11" i="17"/>
  <c r="C8" i="17" l="1"/>
  <c r="C2" i="17" s="1"/>
  <c r="C3" i="17" s="1"/>
  <c r="K8" i="17"/>
  <c r="K2" i="17" s="1"/>
  <c r="K224" i="17"/>
  <c r="G8" i="17"/>
  <c r="G2" i="17" s="1"/>
  <c r="G7" i="17" s="1"/>
  <c r="I15" i="17"/>
  <c r="I16" i="17" s="1"/>
  <c r="I20" i="17" s="1"/>
  <c r="H163" i="17"/>
  <c r="I8" i="17"/>
  <c r="I2" i="17" s="1"/>
  <c r="I7" i="17" s="1"/>
  <c r="K18" i="17"/>
  <c r="H15" i="17"/>
  <c r="H16" i="17" s="1"/>
  <c r="G163" i="17"/>
  <c r="I18" i="17"/>
  <c r="K50" i="17"/>
  <c r="E69" i="17"/>
  <c r="C15" i="17"/>
  <c r="C16" i="17" s="1"/>
  <c r="C29" i="17" s="1"/>
  <c r="D70" i="17"/>
  <c r="H20" i="17"/>
  <c r="D8" i="17"/>
  <c r="D2" i="17" s="1"/>
  <c r="D4" i="17" s="1"/>
  <c r="F50" i="17"/>
  <c r="G18" i="17"/>
  <c r="D163" i="17"/>
  <c r="C19" i="17"/>
  <c r="D224" i="17"/>
  <c r="J19" i="17"/>
  <c r="D50" i="17"/>
  <c r="K163" i="17"/>
  <c r="G15" i="17"/>
  <c r="G16" i="17" s="1"/>
  <c r="G20" i="17" s="1"/>
  <c r="J8" i="17"/>
  <c r="J2" i="17" s="1"/>
  <c r="J7" i="17" s="1"/>
  <c r="K15" i="17"/>
  <c r="K16" i="17" s="1"/>
  <c r="K29" i="17" s="1"/>
  <c r="J163" i="17"/>
  <c r="E3" i="17"/>
  <c r="E26" i="17" s="1"/>
  <c r="E28" i="17" s="1"/>
  <c r="C5" i="17"/>
  <c r="C25" i="17" s="1"/>
  <c r="C27" i="17" s="1"/>
  <c r="E5" i="17"/>
  <c r="E7" i="17"/>
  <c r="J58" i="17"/>
  <c r="J69" i="17"/>
  <c r="K58" i="17"/>
  <c r="K69" i="17"/>
  <c r="K7" i="17"/>
  <c r="K3" i="17"/>
  <c r="K103" i="17" s="1"/>
  <c r="K4" i="17"/>
  <c r="K5" i="17"/>
  <c r="J15" i="17"/>
  <c r="J16" i="17" s="1"/>
  <c r="J50" i="17"/>
  <c r="J105" i="17"/>
  <c r="K105" i="17"/>
  <c r="H69" i="17"/>
  <c r="H58" i="17"/>
  <c r="C58" i="17"/>
  <c r="C69" i="17"/>
  <c r="I58" i="17"/>
  <c r="I69" i="17"/>
  <c r="I4" i="17"/>
  <c r="I5" i="17"/>
  <c r="I3" i="17"/>
  <c r="F18" i="17"/>
  <c r="F8" i="17"/>
  <c r="F2" i="17" s="1"/>
  <c r="G50" i="17"/>
  <c r="H18" i="17"/>
  <c r="H8" i="17"/>
  <c r="H2" i="17" s="1"/>
  <c r="H29" i="17" s="1"/>
  <c r="C224" i="17"/>
  <c r="C105" i="17"/>
  <c r="C50" i="17"/>
  <c r="I224" i="17"/>
  <c r="I105" i="17"/>
  <c r="I50" i="17"/>
  <c r="G69" i="17"/>
  <c r="G58" i="17"/>
  <c r="E58" i="17"/>
  <c r="G5" i="17"/>
  <c r="D69" i="17"/>
  <c r="C7" i="17"/>
  <c r="C4" i="17"/>
  <c r="C26" i="17" s="1"/>
  <c r="C28" i="17" s="1"/>
  <c r="G4" i="17"/>
  <c r="D19" i="17"/>
  <c r="D59" i="17"/>
  <c r="G3" i="17"/>
  <c r="D15" i="17"/>
  <c r="D16" i="17" s="1"/>
  <c r="E15" i="17"/>
  <c r="E16" i="17" s="1"/>
  <c r="E19" i="17"/>
  <c r="F19" i="17"/>
  <c r="I29" i="17"/>
  <c r="F224" i="17"/>
  <c r="F105" i="17"/>
  <c r="F69" i="17"/>
  <c r="F58" i="17"/>
  <c r="F15" i="17"/>
  <c r="F16" i="17" s="1"/>
  <c r="H224" i="17"/>
  <c r="H105" i="17"/>
  <c r="H50" i="17"/>
  <c r="E224" i="17"/>
  <c r="E105" i="17"/>
  <c r="G224" i="17"/>
  <c r="E50" i="17"/>
  <c r="C163" i="17"/>
  <c r="I163" i="17"/>
  <c r="F163" i="17"/>
  <c r="E163" i="17"/>
  <c r="B11" i="17"/>
  <c r="B12" i="17"/>
  <c r="B18" i="17"/>
  <c r="E20" i="17" l="1"/>
  <c r="D3" i="17"/>
  <c r="D5" i="17"/>
  <c r="D7" i="17"/>
  <c r="D81" i="17"/>
  <c r="C107" i="17"/>
  <c r="K20" i="17"/>
  <c r="G29" i="17"/>
  <c r="C20" i="17"/>
  <c r="C103" i="17"/>
  <c r="C99" i="17"/>
  <c r="C100" i="17"/>
  <c r="C106" i="17"/>
  <c r="F20" i="17"/>
  <c r="J4" i="17"/>
  <c r="G99" i="17"/>
  <c r="D20" i="17"/>
  <c r="J3" i="17"/>
  <c r="J109" i="17" s="1"/>
  <c r="J5" i="17"/>
  <c r="E103" i="17"/>
  <c r="E25" i="17"/>
  <c r="E27" i="17" s="1"/>
  <c r="I109" i="17"/>
  <c r="G100" i="17"/>
  <c r="G103" i="17"/>
  <c r="G107" i="17"/>
  <c r="G25" i="17"/>
  <c r="G27" i="17" s="1"/>
  <c r="G108" i="17"/>
  <c r="G106" i="17"/>
  <c r="I110" i="17"/>
  <c r="I25" i="17"/>
  <c r="I27" i="17" s="1"/>
  <c r="I100" i="17"/>
  <c r="I26" i="17"/>
  <c r="I28" i="17" s="1"/>
  <c r="G110" i="17"/>
  <c r="I108" i="17"/>
  <c r="I107" i="17"/>
  <c r="G26" i="17"/>
  <c r="G28" i="17" s="1"/>
  <c r="J108" i="17"/>
  <c r="J107" i="17"/>
  <c r="J29" i="17"/>
  <c r="K25" i="17"/>
  <c r="K27" i="17" s="1"/>
  <c r="K59" i="17"/>
  <c r="K70" i="17"/>
  <c r="K81" i="17" s="1"/>
  <c r="J70" i="17"/>
  <c r="J81" i="17" s="1"/>
  <c r="J59" i="17"/>
  <c r="K107" i="17"/>
  <c r="K26" i="17"/>
  <c r="K28" i="17" s="1"/>
  <c r="K110" i="17"/>
  <c r="J25" i="17"/>
  <c r="J27" i="17" s="1"/>
  <c r="J103" i="17"/>
  <c r="K99" i="17"/>
  <c r="K109" i="17"/>
  <c r="K106" i="17"/>
  <c r="K108" i="17"/>
  <c r="J20" i="17"/>
  <c r="K100" i="17"/>
  <c r="D60" i="17"/>
  <c r="D71" i="17"/>
  <c r="C70" i="17"/>
  <c r="C81" i="17" s="1"/>
  <c r="C59" i="17"/>
  <c r="F70" i="17"/>
  <c r="F59" i="17"/>
  <c r="C109" i="17"/>
  <c r="D26" i="17"/>
  <c r="D28" i="17" s="1"/>
  <c r="D103" i="17"/>
  <c r="F29" i="17"/>
  <c r="E109" i="17"/>
  <c r="E108" i="17"/>
  <c r="E106" i="17"/>
  <c r="E99" i="17"/>
  <c r="E107" i="17"/>
  <c r="E100" i="17"/>
  <c r="E29" i="17"/>
  <c r="E110" i="17"/>
  <c r="C108" i="17"/>
  <c r="I103" i="17"/>
  <c r="I99" i="17"/>
  <c r="I106" i="17"/>
  <c r="G109" i="17"/>
  <c r="D106" i="17"/>
  <c r="D99" i="17"/>
  <c r="D110" i="17"/>
  <c r="D109" i="17"/>
  <c r="D107" i="17"/>
  <c r="D100" i="17"/>
  <c r="D108" i="17"/>
  <c r="D29" i="17"/>
  <c r="C110" i="17"/>
  <c r="E70" i="17"/>
  <c r="E59" i="17"/>
  <c r="H70" i="17"/>
  <c r="H81" i="17" s="1"/>
  <c r="H59" i="17"/>
  <c r="G59" i="17"/>
  <c r="G70" i="17"/>
  <c r="H5" i="17"/>
  <c r="H3" i="17"/>
  <c r="H4" i="17"/>
  <c r="H7" i="17"/>
  <c r="F3" i="17"/>
  <c r="F103" i="17" s="1"/>
  <c r="F4" i="17"/>
  <c r="F5" i="17"/>
  <c r="F7" i="17"/>
  <c r="I70" i="17"/>
  <c r="I81" i="17" s="1"/>
  <c r="I59" i="17"/>
  <c r="D25" i="17"/>
  <c r="D27" i="17" s="1"/>
  <c r="B19" i="17"/>
  <c r="B15" i="17"/>
  <c r="B16" i="17" s="1"/>
  <c r="B8" i="17"/>
  <c r="J26" i="17" l="1"/>
  <c r="J28" i="17" s="1"/>
  <c r="J100" i="17"/>
  <c r="J110" i="17"/>
  <c r="J106" i="17"/>
  <c r="J99" i="17"/>
  <c r="F25" i="17"/>
  <c r="F27" i="17" s="1"/>
  <c r="F109" i="17"/>
  <c r="F26" i="17"/>
  <c r="F28" i="17" s="1"/>
  <c r="H26" i="17"/>
  <c r="H28" i="17" s="1"/>
  <c r="F100" i="17"/>
  <c r="F110" i="17"/>
  <c r="H25" i="17"/>
  <c r="H27" i="17" s="1"/>
  <c r="F108" i="17"/>
  <c r="K94" i="17"/>
  <c r="K185" i="17" s="1"/>
  <c r="J71" i="17"/>
  <c r="J82" i="17" s="1"/>
  <c r="J60" i="17"/>
  <c r="J94" i="17"/>
  <c r="J128" i="17" s="1"/>
  <c r="J130" i="17" s="1"/>
  <c r="K71" i="17"/>
  <c r="K82" i="17" s="1"/>
  <c r="K60" i="17"/>
  <c r="I94" i="17"/>
  <c r="I185" i="17" s="1"/>
  <c r="D72" i="17"/>
  <c r="D61" i="17"/>
  <c r="F71" i="17"/>
  <c r="F60" i="17"/>
  <c r="G60" i="17"/>
  <c r="G71" i="17"/>
  <c r="E71" i="17"/>
  <c r="E82" i="17" s="1"/>
  <c r="E60" i="17"/>
  <c r="F99" i="17"/>
  <c r="F82" i="17"/>
  <c r="C71" i="17"/>
  <c r="C82" i="17" s="1"/>
  <c r="C60" i="17"/>
  <c r="G81" i="17"/>
  <c r="I60" i="17"/>
  <c r="I71" i="17"/>
  <c r="I82" i="17" s="1"/>
  <c r="E81" i="17"/>
  <c r="F106" i="17"/>
  <c r="H103" i="17"/>
  <c r="H100" i="17"/>
  <c r="H108" i="17"/>
  <c r="H106" i="17"/>
  <c r="H107" i="17"/>
  <c r="H99" i="17"/>
  <c r="H109" i="17"/>
  <c r="H110" i="17"/>
  <c r="H60" i="17"/>
  <c r="H71" i="17"/>
  <c r="F81" i="17"/>
  <c r="F107" i="17"/>
  <c r="D82" i="17"/>
  <c r="B20" i="17"/>
  <c r="K128" i="17" l="1"/>
  <c r="K130" i="17" s="1"/>
  <c r="I128" i="17"/>
  <c r="I130" i="17" s="1"/>
  <c r="I141" i="17" s="1"/>
  <c r="J185" i="17"/>
  <c r="K131" i="17"/>
  <c r="K142" i="17" s="1"/>
  <c r="K61" i="17"/>
  <c r="K72" i="17"/>
  <c r="J61" i="17"/>
  <c r="J72" i="17"/>
  <c r="J83" i="17" s="1"/>
  <c r="J141" i="17"/>
  <c r="K141" i="17"/>
  <c r="J131" i="17"/>
  <c r="J142" i="17" s="1"/>
  <c r="H94" i="17"/>
  <c r="H128" i="17" s="1"/>
  <c r="H130" i="17" s="1"/>
  <c r="C72" i="17"/>
  <c r="C83" i="17" s="1"/>
  <c r="C61" i="17"/>
  <c r="G61" i="17"/>
  <c r="G72" i="17"/>
  <c r="F61" i="17"/>
  <c r="F72" i="17"/>
  <c r="D62" i="17"/>
  <c r="D73" i="17"/>
  <c r="D83" i="17"/>
  <c r="H61" i="17"/>
  <c r="H72" i="17"/>
  <c r="H83" i="17" s="1"/>
  <c r="I72" i="17"/>
  <c r="I61" i="17"/>
  <c r="E61" i="17"/>
  <c r="E72" i="17"/>
  <c r="G82" i="17"/>
  <c r="H82" i="17"/>
  <c r="B102" i="17"/>
  <c r="B168" i="17"/>
  <c r="B38" i="17"/>
  <c r="B105" i="17" s="1"/>
  <c r="B40" i="17"/>
  <c r="B42" i="17"/>
  <c r="B44" i="17"/>
  <c r="B48" i="17"/>
  <c r="B54" i="17" s="1"/>
  <c r="B57" i="17" s="1"/>
  <c r="B55" i="17"/>
  <c r="B95" i="17"/>
  <c r="B165" i="17"/>
  <c r="B166" i="17"/>
  <c r="B167" i="17"/>
  <c r="B164" i="17"/>
  <c r="H185" i="17" l="1"/>
  <c r="I131" i="17"/>
  <c r="I142" i="17" s="1"/>
  <c r="K73" i="17"/>
  <c r="K62" i="17"/>
  <c r="K83" i="17"/>
  <c r="J132" i="17"/>
  <c r="J62" i="17"/>
  <c r="J73" i="17"/>
  <c r="H132" i="17"/>
  <c r="H143" i="17" s="1"/>
  <c r="I83" i="17"/>
  <c r="D63" i="17"/>
  <c r="D74" i="17"/>
  <c r="D85" i="17" s="1"/>
  <c r="F73" i="17"/>
  <c r="F84" i="17" s="1"/>
  <c r="F62" i="17"/>
  <c r="H141" i="17"/>
  <c r="E62" i="17"/>
  <c r="E73" i="17"/>
  <c r="E84" i="17" s="1"/>
  <c r="F83" i="17"/>
  <c r="H131" i="17"/>
  <c r="H142" i="17" s="1"/>
  <c r="H62" i="17"/>
  <c r="H73" i="17"/>
  <c r="G62" i="17"/>
  <c r="G73" i="17"/>
  <c r="G83" i="17"/>
  <c r="C73" i="17"/>
  <c r="C84" i="17" s="1"/>
  <c r="C62" i="17"/>
  <c r="E83" i="17"/>
  <c r="I73" i="17"/>
  <c r="I84" i="17" s="1"/>
  <c r="I62" i="17"/>
  <c r="D84" i="17"/>
  <c r="G94" i="17"/>
  <c r="G128" i="17" s="1"/>
  <c r="G130" i="17" s="1"/>
  <c r="B224" i="17"/>
  <c r="B2" i="17"/>
  <c r="B50" i="17"/>
  <c r="B58" i="17"/>
  <c r="B69" i="17"/>
  <c r="B163" i="17"/>
  <c r="G185" i="17" l="1"/>
  <c r="J143" i="17"/>
  <c r="K132" i="17"/>
  <c r="K74" i="17"/>
  <c r="K63" i="17"/>
  <c r="K85" i="17"/>
  <c r="J74" i="17"/>
  <c r="J63" i="17"/>
  <c r="K84" i="17"/>
  <c r="J84" i="17"/>
  <c r="E63" i="17"/>
  <c r="E74" i="17"/>
  <c r="E85" i="17" s="1"/>
  <c r="D64" i="17"/>
  <c r="D75" i="17"/>
  <c r="G132" i="17"/>
  <c r="G143" i="17" s="1"/>
  <c r="I63" i="17"/>
  <c r="I74" i="17"/>
  <c r="C74" i="17"/>
  <c r="C63" i="17"/>
  <c r="G84" i="17"/>
  <c r="I132" i="17"/>
  <c r="I85" i="17"/>
  <c r="G74" i="17"/>
  <c r="G63" i="17"/>
  <c r="F63" i="17"/>
  <c r="F74" i="17"/>
  <c r="I133" i="17"/>
  <c r="I144" i="17" s="1"/>
  <c r="H84" i="17"/>
  <c r="G141" i="17"/>
  <c r="G131" i="17"/>
  <c r="G142" i="17" s="1"/>
  <c r="H74" i="17"/>
  <c r="H63" i="17"/>
  <c r="B29" i="17"/>
  <c r="B7" i="17"/>
  <c r="B4" i="17"/>
  <c r="B3" i="17"/>
  <c r="B70" i="17"/>
  <c r="B59" i="17"/>
  <c r="B43" i="14"/>
  <c r="B45" i="14"/>
  <c r="B46" i="14" s="1"/>
  <c r="B103" i="17" l="1"/>
  <c r="B106" i="17"/>
  <c r="J133" i="17"/>
  <c r="K64" i="17"/>
  <c r="K75" i="17"/>
  <c r="K133" i="17"/>
  <c r="K144" i="17" s="1"/>
  <c r="J64" i="17"/>
  <c r="J75" i="17"/>
  <c r="K134" i="17"/>
  <c r="K145" i="17" s="1"/>
  <c r="K143" i="17"/>
  <c r="J85" i="17"/>
  <c r="I143" i="17"/>
  <c r="I86" i="17"/>
  <c r="F85" i="17"/>
  <c r="F75" i="17"/>
  <c r="F86" i="17" s="1"/>
  <c r="F64" i="17"/>
  <c r="G133" i="17"/>
  <c r="G144" i="17" s="1"/>
  <c r="I64" i="17"/>
  <c r="I75" i="17"/>
  <c r="E64" i="17"/>
  <c r="E75" i="17"/>
  <c r="E86" i="17" s="1"/>
  <c r="H64" i="17"/>
  <c r="H75" i="17"/>
  <c r="H86" i="17" s="1"/>
  <c r="D65" i="17"/>
  <c r="D76" i="17"/>
  <c r="D87" i="17" s="1"/>
  <c r="I134" i="17"/>
  <c r="I145" i="17" s="1"/>
  <c r="G75" i="17"/>
  <c r="G64" i="17"/>
  <c r="H133" i="17"/>
  <c r="G85" i="17"/>
  <c r="D86" i="17"/>
  <c r="H85" i="17"/>
  <c r="C85" i="17"/>
  <c r="C64" i="17"/>
  <c r="C75" i="17"/>
  <c r="B26" i="17"/>
  <c r="B28" i="17" s="1"/>
  <c r="B108" i="17"/>
  <c r="B109" i="17"/>
  <c r="B107" i="17"/>
  <c r="B100" i="17"/>
  <c r="B110" i="17"/>
  <c r="B99" i="17"/>
  <c r="B81" i="17"/>
  <c r="B71" i="17"/>
  <c r="B60" i="17"/>
  <c r="L23" i="16"/>
  <c r="M23" i="16"/>
  <c r="L38" i="16"/>
  <c r="N36" i="16"/>
  <c r="N37" i="16"/>
  <c r="N35" i="16"/>
  <c r="N48" i="16"/>
  <c r="N45" i="16"/>
  <c r="N50" i="16"/>
  <c r="L50" i="16" s="1"/>
  <c r="N40" i="16"/>
  <c r="L40" i="16" s="1"/>
  <c r="C12" i="8"/>
  <c r="D12" i="8"/>
  <c r="E12" i="8"/>
  <c r="F12" i="8"/>
  <c r="G12" i="8"/>
  <c r="H12" i="8"/>
  <c r="I12" i="8"/>
  <c r="J12" i="8"/>
  <c r="K12" i="8"/>
  <c r="B12" i="8"/>
  <c r="C13" i="8"/>
  <c r="D13" i="8"/>
  <c r="E13" i="8"/>
  <c r="F13" i="8"/>
  <c r="G13" i="8"/>
  <c r="H13" i="8"/>
  <c r="I13" i="8"/>
  <c r="J13" i="8"/>
  <c r="K13" i="8"/>
  <c r="B13" i="8"/>
  <c r="C14" i="8"/>
  <c r="D14" i="8"/>
  <c r="E14" i="8"/>
  <c r="F14" i="8"/>
  <c r="G14" i="8"/>
  <c r="G15" i="8" s="1"/>
  <c r="H14" i="8"/>
  <c r="H15" i="8" s="1"/>
  <c r="I14" i="8"/>
  <c r="I15" i="8" s="1"/>
  <c r="J14" i="8"/>
  <c r="J15" i="8" s="1"/>
  <c r="K14" i="8"/>
  <c r="K15" i="8" s="1"/>
  <c r="B14" i="8"/>
  <c r="B15" i="8" s="1"/>
  <c r="D16" i="8"/>
  <c r="E16" i="8"/>
  <c r="F16" i="8"/>
  <c r="G16" i="8"/>
  <c r="H16" i="8"/>
  <c r="I16" i="8"/>
  <c r="J16" i="8"/>
  <c r="K16" i="8"/>
  <c r="C16" i="8"/>
  <c r="B16" i="8"/>
  <c r="J17" i="8"/>
  <c r="K17" i="8"/>
  <c r="D17" i="8"/>
  <c r="E17" i="8"/>
  <c r="F17" i="8"/>
  <c r="G17" i="8"/>
  <c r="H17" i="8"/>
  <c r="I17" i="8"/>
  <c r="C17" i="8"/>
  <c r="B17"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K17" i="19"/>
  <c r="C62" i="14"/>
  <c r="C67" i="14" s="1"/>
  <c r="C63" i="14"/>
  <c r="C64" i="14"/>
  <c r="C65" i="14"/>
  <c r="C66" i="14"/>
  <c r="C61" i="14"/>
  <c r="D62" i="1"/>
  <c r="C8" i="1" s="1"/>
  <c r="B9" i="18"/>
  <c r="B14" i="18"/>
  <c r="B15" i="18" s="1"/>
  <c r="B10" i="18"/>
  <c r="B6" i="18"/>
  <c r="B5" i="18"/>
  <c r="B18" i="18" s="1"/>
  <c r="B20" i="18" s="1"/>
  <c r="B4" i="18"/>
  <c r="B19" i="18" s="1"/>
  <c r="B21" i="18" s="1"/>
  <c r="B3" i="18"/>
  <c r="B5" i="17"/>
  <c r="D67" i="1"/>
  <c r="D65" i="1"/>
  <c r="D64" i="1"/>
  <c r="I64" i="1" s="1"/>
  <c r="P67" i="1"/>
  <c r="P65" i="1"/>
  <c r="P64" i="1"/>
  <c r="C4" i="1"/>
  <c r="C3" i="1"/>
  <c r="T22" i="1"/>
  <c r="F15" i="8"/>
  <c r="E15" i="8"/>
  <c r="D15" i="8"/>
  <c r="C15" i="8"/>
  <c r="E30" i="17" l="1"/>
  <c r="C30" i="17"/>
  <c r="G30" i="17"/>
  <c r="K30" i="17"/>
  <c r="I30" i="17"/>
  <c r="J30" i="17"/>
  <c r="H30" i="17"/>
  <c r="F30" i="17"/>
  <c r="D30" i="17"/>
  <c r="B30" i="17"/>
  <c r="B23" i="18"/>
  <c r="P6" i="8"/>
  <c r="Q6" i="8"/>
  <c r="R2" i="8"/>
  <c r="S6" i="8"/>
  <c r="T3" i="8"/>
  <c r="U2" i="8"/>
  <c r="U6" i="8"/>
  <c r="D99" i="1"/>
  <c r="I33" i="17"/>
  <c r="H33" i="17"/>
  <c r="C33" i="17"/>
  <c r="G33" i="17"/>
  <c r="F33" i="17"/>
  <c r="E33" i="17"/>
  <c r="K33" i="17"/>
  <c r="D33" i="17"/>
  <c r="J33" i="17"/>
  <c r="B33" i="17"/>
  <c r="W2" i="8"/>
  <c r="W6" i="8"/>
  <c r="V6" i="8"/>
  <c r="N41" i="16"/>
  <c r="L41" i="16" s="1"/>
  <c r="O6" i="8"/>
  <c r="P2" i="8"/>
  <c r="C114" i="17"/>
  <c r="C121" i="17" s="1"/>
  <c r="K114" i="17"/>
  <c r="K121" i="17" s="1"/>
  <c r="E114" i="17"/>
  <c r="E121" i="17" s="1"/>
  <c r="G114" i="17"/>
  <c r="G121" i="17" s="1"/>
  <c r="J114" i="17"/>
  <c r="J121" i="17" s="1"/>
  <c r="D114" i="17"/>
  <c r="D121" i="17" s="1"/>
  <c r="I114" i="17"/>
  <c r="I121" i="17" s="1"/>
  <c r="F114" i="17"/>
  <c r="F121" i="17" s="1"/>
  <c r="H114" i="17"/>
  <c r="H121" i="17" s="1"/>
  <c r="G113" i="17"/>
  <c r="G120" i="17" s="1"/>
  <c r="C113" i="17"/>
  <c r="C120" i="17" s="1"/>
  <c r="E113" i="17"/>
  <c r="E120" i="17" s="1"/>
  <c r="K113" i="17"/>
  <c r="K120" i="17" s="1"/>
  <c r="J113" i="17"/>
  <c r="J120" i="17" s="1"/>
  <c r="D113" i="17"/>
  <c r="D120" i="17" s="1"/>
  <c r="F113" i="17"/>
  <c r="F120" i="17" s="1"/>
  <c r="I113" i="17"/>
  <c r="I120" i="17" s="1"/>
  <c r="H113" i="17"/>
  <c r="H120" i="17" s="1"/>
  <c r="K115" i="17"/>
  <c r="K122" i="17" s="1"/>
  <c r="C115" i="17"/>
  <c r="C122" i="17" s="1"/>
  <c r="G115" i="17"/>
  <c r="G122" i="17" s="1"/>
  <c r="E115" i="17"/>
  <c r="E122" i="17" s="1"/>
  <c r="F115" i="17"/>
  <c r="F122" i="17" s="1"/>
  <c r="D115" i="17"/>
  <c r="D122" i="17" s="1"/>
  <c r="J115" i="17"/>
  <c r="J122" i="17" s="1"/>
  <c r="I115" i="17"/>
  <c r="I122" i="17" s="1"/>
  <c r="H115" i="17"/>
  <c r="H122" i="17" s="1"/>
  <c r="K112" i="17"/>
  <c r="K119" i="17" s="1"/>
  <c r="G112" i="17"/>
  <c r="G119" i="17" s="1"/>
  <c r="E112" i="17"/>
  <c r="E119" i="17" s="1"/>
  <c r="C112" i="17"/>
  <c r="C119" i="17" s="1"/>
  <c r="I112" i="17"/>
  <c r="I119" i="17" s="1"/>
  <c r="J112" i="17"/>
  <c r="J119" i="17" s="1"/>
  <c r="F112" i="17"/>
  <c r="F119" i="17" s="1"/>
  <c r="D112" i="17"/>
  <c r="D119" i="17" s="1"/>
  <c r="H112" i="17"/>
  <c r="H119" i="17" s="1"/>
  <c r="K116" i="17"/>
  <c r="C116" i="17"/>
  <c r="G116" i="17"/>
  <c r="E116" i="17"/>
  <c r="F116" i="17"/>
  <c r="I116" i="17"/>
  <c r="J116" i="17"/>
  <c r="D116" i="17"/>
  <c r="H116" i="17"/>
  <c r="J134" i="17"/>
  <c r="J145" i="17" s="1"/>
  <c r="K76" i="17"/>
  <c r="K87" i="17" s="1"/>
  <c r="K65" i="17"/>
  <c r="J86" i="17"/>
  <c r="J76" i="17"/>
  <c r="J65" i="17"/>
  <c r="K86" i="17"/>
  <c r="J144" i="17"/>
  <c r="H144" i="17"/>
  <c r="C86" i="17"/>
  <c r="D77" i="17"/>
  <c r="D66" i="17"/>
  <c r="G134" i="17"/>
  <c r="I65" i="17"/>
  <c r="I76" i="17"/>
  <c r="I87" i="17" s="1"/>
  <c r="I135" i="17"/>
  <c r="I146" i="17" s="1"/>
  <c r="E65" i="17"/>
  <c r="E76" i="17"/>
  <c r="E87" i="17" s="1"/>
  <c r="F76" i="17"/>
  <c r="F65" i="17"/>
  <c r="C76" i="17"/>
  <c r="C65" i="17"/>
  <c r="F87" i="17"/>
  <c r="H134" i="17"/>
  <c r="H145" i="17" s="1"/>
  <c r="G86" i="17"/>
  <c r="G76" i="17"/>
  <c r="G87" i="17" s="1"/>
  <c r="G65" i="17"/>
  <c r="H65" i="17"/>
  <c r="H76" i="17"/>
  <c r="H87" i="17" s="1"/>
  <c r="H135" i="17"/>
  <c r="H146" i="17" s="1"/>
  <c r="B25" i="17"/>
  <c r="B27" i="17" s="1"/>
  <c r="B112" i="17"/>
  <c r="B119" i="17" s="1"/>
  <c r="B114" i="17"/>
  <c r="B121" i="17" s="1"/>
  <c r="B116" i="17"/>
  <c r="B113" i="17"/>
  <c r="B120" i="17" s="1"/>
  <c r="B115" i="17"/>
  <c r="B122" i="17" s="1"/>
  <c r="B82" i="17"/>
  <c r="B72" i="17"/>
  <c r="B61" i="17"/>
  <c r="Q2" i="8"/>
  <c r="O10" i="8"/>
  <c r="Q10" i="8"/>
  <c r="V2" i="8"/>
  <c r="R5" i="8"/>
  <c r="R4" i="8"/>
  <c r="O5" i="8"/>
  <c r="Q5" i="8"/>
  <c r="T6" i="8"/>
  <c r="V5" i="8"/>
  <c r="X5"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O7" i="8"/>
  <c r="Q7" i="8"/>
  <c r="T9" i="8"/>
  <c r="X7" i="8"/>
  <c r="W10" i="8"/>
  <c r="T7" i="8"/>
  <c r="F60" i="1"/>
  <c r="D25" i="1"/>
  <c r="B12" i="18"/>
  <c r="B13" i="18" s="1"/>
  <c r="P25" i="1"/>
  <c r="P23" i="1" s="1"/>
  <c r="U22" i="1" s="1"/>
  <c r="V22" i="1" s="1"/>
  <c r="D42" i="1"/>
  <c r="I67" i="1" s="1"/>
  <c r="I33" i="1"/>
  <c r="I34" i="1"/>
  <c r="I35" i="1"/>
  <c r="I39" i="1"/>
  <c r="B34" i="17" l="1"/>
  <c r="B187" i="17" s="1"/>
  <c r="B45" i="17"/>
  <c r="B46" i="17" s="1"/>
  <c r="B35" i="17"/>
  <c r="B36" i="17" s="1"/>
  <c r="J45" i="17"/>
  <c r="J46" i="17" s="1"/>
  <c r="J35" i="17"/>
  <c r="J36" i="17" s="1"/>
  <c r="J34" i="17"/>
  <c r="J187" i="17" s="1"/>
  <c r="D34" i="17"/>
  <c r="D187" i="17" s="1"/>
  <c r="D45" i="17"/>
  <c r="D46" i="17" s="1"/>
  <c r="D35" i="17"/>
  <c r="D36" i="17" s="1"/>
  <c r="D49" i="17" s="1"/>
  <c r="D51" i="17" s="1"/>
  <c r="K45" i="17"/>
  <c r="K46" i="17" s="1"/>
  <c r="K35" i="17"/>
  <c r="K36" i="17" s="1"/>
  <c r="K49" i="17" s="1"/>
  <c r="K51" i="17" s="1"/>
  <c r="K34" i="17"/>
  <c r="K187" i="17" s="1"/>
  <c r="E34" i="17"/>
  <c r="E187" i="17" s="1"/>
  <c r="E35" i="17"/>
  <c r="E36" i="17" s="1"/>
  <c r="E45" i="17"/>
  <c r="E46" i="17" s="1"/>
  <c r="AA6" i="8"/>
  <c r="F45" i="17"/>
  <c r="F46" i="17" s="1"/>
  <c r="F35" i="17"/>
  <c r="F36" i="17" s="1"/>
  <c r="F34" i="17"/>
  <c r="F187" i="17" s="1"/>
  <c r="G35" i="17"/>
  <c r="G36" i="17" s="1"/>
  <c r="G34" i="17"/>
  <c r="G187" i="17" s="1"/>
  <c r="G45" i="17"/>
  <c r="G46" i="17" s="1"/>
  <c r="C45" i="17"/>
  <c r="C46" i="17" s="1"/>
  <c r="C35" i="17"/>
  <c r="C36" i="17" s="1"/>
  <c r="C34" i="17"/>
  <c r="C187" i="17" s="1"/>
  <c r="Z6" i="8"/>
  <c r="H34" i="17"/>
  <c r="H187" i="17" s="1"/>
  <c r="H35" i="17"/>
  <c r="H36" i="17" s="1"/>
  <c r="H45" i="17"/>
  <c r="H46" i="17" s="1"/>
  <c r="I45" i="17"/>
  <c r="I46" i="17" s="1"/>
  <c r="I34" i="17"/>
  <c r="I187" i="17" s="1"/>
  <c r="I35" i="17"/>
  <c r="I36" i="17" s="1"/>
  <c r="I49" i="17" s="1"/>
  <c r="I51" i="17" s="1"/>
  <c r="B16" i="18"/>
  <c r="B22" i="18"/>
  <c r="B26" i="18" s="1"/>
  <c r="C104" i="17"/>
  <c r="C123" i="17"/>
  <c r="C117" i="17" s="1"/>
  <c r="J104" i="17"/>
  <c r="J123" i="17"/>
  <c r="J117" i="17" s="1"/>
  <c r="I104" i="17"/>
  <c r="I123" i="17"/>
  <c r="I117" i="17" s="1"/>
  <c r="H123" i="17"/>
  <c r="H117" i="17" s="1"/>
  <c r="H104" i="17"/>
  <c r="G104" i="17"/>
  <c r="G123" i="17"/>
  <c r="G117" i="17" s="1"/>
  <c r="D104" i="17"/>
  <c r="D123" i="17"/>
  <c r="D117" i="17" s="1"/>
  <c r="F104" i="17"/>
  <c r="F123" i="17"/>
  <c r="F117" i="17" s="1"/>
  <c r="K123" i="17"/>
  <c r="K117" i="17" s="1"/>
  <c r="K104" i="17"/>
  <c r="E123" i="17"/>
  <c r="E117" i="17" s="1"/>
  <c r="E104" i="17"/>
  <c r="J77" i="17"/>
  <c r="J66" i="17"/>
  <c r="K136" i="17"/>
  <c r="K147" i="17" s="1"/>
  <c r="J135" i="17"/>
  <c r="K77" i="17"/>
  <c r="K66" i="17"/>
  <c r="K135" i="17"/>
  <c r="K88" i="17"/>
  <c r="J87" i="17"/>
  <c r="G136" i="17"/>
  <c r="G147" i="17" s="1"/>
  <c r="H66" i="17"/>
  <c r="H77" i="17"/>
  <c r="H88" i="17" s="1"/>
  <c r="H136" i="17"/>
  <c r="G66" i="17"/>
  <c r="G77" i="17"/>
  <c r="C66" i="17"/>
  <c r="C77" i="17"/>
  <c r="C88" i="17" s="1"/>
  <c r="G88" i="17"/>
  <c r="G135" i="17"/>
  <c r="G146" i="17" s="1"/>
  <c r="F66" i="17"/>
  <c r="F77" i="17"/>
  <c r="F88" i="17" s="1"/>
  <c r="I136" i="17"/>
  <c r="I147" i="17" s="1"/>
  <c r="G145" i="17"/>
  <c r="D88" i="17"/>
  <c r="C87" i="17"/>
  <c r="E77" i="17"/>
  <c r="E66" i="17"/>
  <c r="I66" i="17"/>
  <c r="I77" i="17"/>
  <c r="D78" i="17"/>
  <c r="D67" i="17"/>
  <c r="D79" i="17" s="1"/>
  <c r="B123" i="17"/>
  <c r="B117" i="17" s="1"/>
  <c r="B104" i="17"/>
  <c r="B73" i="17"/>
  <c r="B84" i="17" s="1"/>
  <c r="B62" i="17"/>
  <c r="B83" i="17"/>
  <c r="Y3" i="8"/>
  <c r="Z3" i="8"/>
  <c r="Y4" i="8"/>
  <c r="Z4" i="8"/>
  <c r="Z9" i="8"/>
  <c r="Y9" i="8"/>
  <c r="AA9" i="8" s="1"/>
  <c r="Z10" i="8"/>
  <c r="Y10" i="8"/>
  <c r="Z5" i="8"/>
  <c r="Y5" i="8"/>
  <c r="AA5" i="8" s="1"/>
  <c r="Y8" i="8"/>
  <c r="AA8" i="8" s="1"/>
  <c r="Z8" i="8"/>
  <c r="Z7" i="8"/>
  <c r="Y7" i="8"/>
  <c r="AA7" i="8" s="1"/>
  <c r="Z2" i="8"/>
  <c r="Y2" i="8"/>
  <c r="AA2" i="8" s="1"/>
  <c r="I32" i="1"/>
  <c r="I40" i="1"/>
  <c r="I36" i="1"/>
  <c r="I38" i="1"/>
  <c r="I31" i="1"/>
  <c r="I37" i="1"/>
  <c r="J49" i="17" l="1"/>
  <c r="J51" i="17" s="1"/>
  <c r="B49" i="17"/>
  <c r="B51" i="17" s="1"/>
  <c r="C49" i="17"/>
  <c r="C51" i="17" s="1"/>
  <c r="E49" i="17"/>
  <c r="F49" i="17"/>
  <c r="AA4" i="8"/>
  <c r="AA3" i="8"/>
  <c r="E192" i="17"/>
  <c r="E202" i="17" s="1"/>
  <c r="E195" i="17"/>
  <c r="E205" i="17" s="1"/>
  <c r="E191" i="17"/>
  <c r="E201" i="17" s="1"/>
  <c r="E193" i="17"/>
  <c r="E203" i="17" s="1"/>
  <c r="E194" i="17"/>
  <c r="E204" i="17" s="1"/>
  <c r="E189" i="17"/>
  <c r="E199" i="17" s="1"/>
  <c r="E197" i="17"/>
  <c r="E207" i="17" s="1"/>
  <c r="E190" i="17"/>
  <c r="E200" i="17" s="1"/>
  <c r="E196" i="17"/>
  <c r="E206" i="17" s="1"/>
  <c r="D194" i="17"/>
  <c r="D204" i="17" s="1"/>
  <c r="D189" i="17"/>
  <c r="D199" i="17" s="1"/>
  <c r="D193" i="17"/>
  <c r="D203" i="17" s="1"/>
  <c r="D196" i="17"/>
  <c r="D206" i="17" s="1"/>
  <c r="D195" i="17"/>
  <c r="D205" i="17" s="1"/>
  <c r="D197" i="17"/>
  <c r="D207" i="17" s="1"/>
  <c r="D191" i="17"/>
  <c r="D201" i="17" s="1"/>
  <c r="D192" i="17"/>
  <c r="D202" i="17" s="1"/>
  <c r="D190" i="17"/>
  <c r="D200" i="17" s="1"/>
  <c r="I96" i="17"/>
  <c r="I97" i="17"/>
  <c r="D97" i="17"/>
  <c r="D96" i="17"/>
  <c r="J191" i="17"/>
  <c r="J201" i="17" s="1"/>
  <c r="J193" i="17"/>
  <c r="J203" i="17" s="1"/>
  <c r="J195" i="17"/>
  <c r="J205" i="17" s="1"/>
  <c r="J192" i="17"/>
  <c r="J202" i="17" s="1"/>
  <c r="J190" i="17"/>
  <c r="J200" i="17" s="1"/>
  <c r="J194" i="17"/>
  <c r="J204" i="17" s="1"/>
  <c r="J197" i="17"/>
  <c r="J207" i="17" s="1"/>
  <c r="J189" i="17"/>
  <c r="J199" i="17" s="1"/>
  <c r="J196" i="17"/>
  <c r="J206" i="17" s="1"/>
  <c r="J239" i="17"/>
  <c r="J227" i="17"/>
  <c r="G190" i="17"/>
  <c r="G200" i="17" s="1"/>
  <c r="G192" i="17"/>
  <c r="G202" i="17" s="1"/>
  <c r="G193" i="17"/>
  <c r="G203" i="17" s="1"/>
  <c r="G194" i="17"/>
  <c r="G204" i="17" s="1"/>
  <c r="G191" i="17"/>
  <c r="G201" i="17" s="1"/>
  <c r="G197" i="17"/>
  <c r="G207" i="17" s="1"/>
  <c r="G196" i="17"/>
  <c r="G206" i="17" s="1"/>
  <c r="G195" i="17"/>
  <c r="G205" i="17" s="1"/>
  <c r="G189" i="17"/>
  <c r="G199" i="17" s="1"/>
  <c r="G239" i="17"/>
  <c r="G227" i="17"/>
  <c r="J97" i="17"/>
  <c r="J96" i="17"/>
  <c r="H49" i="17"/>
  <c r="H51" i="17" s="1"/>
  <c r="C97" i="17"/>
  <c r="C96" i="17"/>
  <c r="C93" i="17" s="1"/>
  <c r="G49" i="17"/>
  <c r="G51" i="17" s="1"/>
  <c r="I191" i="17"/>
  <c r="I201" i="17" s="1"/>
  <c r="I197" i="17"/>
  <c r="I207" i="17" s="1"/>
  <c r="I193" i="17"/>
  <c r="I203" i="17" s="1"/>
  <c r="I195" i="17"/>
  <c r="I205" i="17" s="1"/>
  <c r="I196" i="17"/>
  <c r="I206" i="17" s="1"/>
  <c r="I189" i="17"/>
  <c r="I199" i="17" s="1"/>
  <c r="I190" i="17"/>
  <c r="I200" i="17" s="1"/>
  <c r="I192" i="17"/>
  <c r="I202" i="17" s="1"/>
  <c r="I194" i="17"/>
  <c r="I204" i="17" s="1"/>
  <c r="I239" i="17"/>
  <c r="I227" i="17"/>
  <c r="K195" i="17"/>
  <c r="K205" i="17" s="1"/>
  <c r="K189" i="17"/>
  <c r="K199" i="17" s="1"/>
  <c r="K192" i="17"/>
  <c r="K202" i="17" s="1"/>
  <c r="K196" i="17"/>
  <c r="K206" i="17" s="1"/>
  <c r="K193" i="17"/>
  <c r="K203" i="17" s="1"/>
  <c r="K191" i="17"/>
  <c r="K201" i="17" s="1"/>
  <c r="K190" i="17"/>
  <c r="K200" i="17" s="1"/>
  <c r="K194" i="17"/>
  <c r="K204" i="17" s="1"/>
  <c r="K197" i="17"/>
  <c r="K207" i="17" s="1"/>
  <c r="K239" i="17"/>
  <c r="K227" i="17"/>
  <c r="F194" i="17"/>
  <c r="F204" i="17" s="1"/>
  <c r="F196" i="17"/>
  <c r="F206" i="17" s="1"/>
  <c r="F197" i="17"/>
  <c r="F207" i="17" s="1"/>
  <c r="F189" i="17"/>
  <c r="F199" i="17" s="1"/>
  <c r="F192" i="17"/>
  <c r="F202" i="17" s="1"/>
  <c r="F195" i="17"/>
  <c r="F205" i="17" s="1"/>
  <c r="F191" i="17"/>
  <c r="F201" i="17" s="1"/>
  <c r="F193" i="17"/>
  <c r="F203" i="17" s="1"/>
  <c r="F190" i="17"/>
  <c r="F200" i="17" s="1"/>
  <c r="B96" i="17"/>
  <c r="B97" i="17"/>
  <c r="H189" i="17"/>
  <c r="H199" i="17" s="1"/>
  <c r="H197" i="17"/>
  <c r="H207" i="17" s="1"/>
  <c r="H194" i="17"/>
  <c r="H204" i="17" s="1"/>
  <c r="H190" i="17"/>
  <c r="H200" i="17" s="1"/>
  <c r="H193" i="17"/>
  <c r="H203" i="17" s="1"/>
  <c r="H196" i="17"/>
  <c r="H206" i="17" s="1"/>
  <c r="H192" i="17"/>
  <c r="H202" i="17" s="1"/>
  <c r="H191" i="17"/>
  <c r="H201" i="17" s="1"/>
  <c r="H195" i="17"/>
  <c r="H205" i="17" s="1"/>
  <c r="H227" i="17"/>
  <c r="H239" i="17"/>
  <c r="E51" i="17"/>
  <c r="K97" i="17"/>
  <c r="K96" i="17"/>
  <c r="K93" i="17" s="1"/>
  <c r="C196" i="17"/>
  <c r="C206" i="17" s="1"/>
  <c r="C189" i="17"/>
  <c r="C199" i="17" s="1"/>
  <c r="C193" i="17"/>
  <c r="C203" i="17" s="1"/>
  <c r="C197" i="17"/>
  <c r="C207" i="17" s="1"/>
  <c r="C195" i="17"/>
  <c r="C205" i="17" s="1"/>
  <c r="C191" i="17"/>
  <c r="C201" i="17" s="1"/>
  <c r="C194" i="17"/>
  <c r="C204" i="17" s="1"/>
  <c r="C190" i="17"/>
  <c r="C200" i="17" s="1"/>
  <c r="C192" i="17"/>
  <c r="C202" i="17" s="1"/>
  <c r="AA10" i="8"/>
  <c r="F51" i="17"/>
  <c r="B191" i="17"/>
  <c r="B201" i="17" s="1"/>
  <c r="B189" i="17"/>
  <c r="B199" i="17" s="1"/>
  <c r="B192" i="17"/>
  <c r="B202" i="17" s="1"/>
  <c r="B193" i="17"/>
  <c r="B203" i="17" s="1"/>
  <c r="B194" i="17"/>
  <c r="B204" i="17" s="1"/>
  <c r="B190" i="17"/>
  <c r="B200" i="17" s="1"/>
  <c r="B197" i="17"/>
  <c r="B207" i="17" s="1"/>
  <c r="B195" i="17"/>
  <c r="B196" i="17"/>
  <c r="B206" i="17" s="1"/>
  <c r="K146" i="17"/>
  <c r="K137" i="17"/>
  <c r="K148" i="17" s="1"/>
  <c r="J146" i="17"/>
  <c r="K67" i="17"/>
  <c r="K79" i="17" s="1"/>
  <c r="K78" i="17"/>
  <c r="J88" i="17"/>
  <c r="J136" i="17"/>
  <c r="J147" i="17" s="1"/>
  <c r="J67" i="17"/>
  <c r="J79" i="17" s="1"/>
  <c r="J78" i="17"/>
  <c r="E67" i="17"/>
  <c r="E79" i="17" s="1"/>
  <c r="E78" i="17"/>
  <c r="D90" i="17"/>
  <c r="I67" i="17"/>
  <c r="I79" i="17" s="1"/>
  <c r="I78" i="17"/>
  <c r="I90" i="17" s="1"/>
  <c r="E89" i="17"/>
  <c r="H147" i="17"/>
  <c r="C78" i="17"/>
  <c r="C89" i="17" s="1"/>
  <c r="C67" i="17"/>
  <c r="C79" i="17" s="1"/>
  <c r="E88" i="17"/>
  <c r="G78" i="17"/>
  <c r="G67" i="17"/>
  <c r="G79" i="17" s="1"/>
  <c r="H67" i="17"/>
  <c r="H79" i="17" s="1"/>
  <c r="H78" i="17"/>
  <c r="I88" i="17"/>
  <c r="G137" i="17"/>
  <c r="H137" i="17"/>
  <c r="H148" i="17" s="1"/>
  <c r="F67" i="17"/>
  <c r="F79" i="17" s="1"/>
  <c r="F78" i="17"/>
  <c r="F90" i="17" s="1"/>
  <c r="D89" i="17"/>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B167" i="4"/>
  <c r="A168" i="4"/>
  <c r="A169" i="4" s="1"/>
  <c r="T46" i="13"/>
  <c r="T47" i="13"/>
  <c r="T48" i="13"/>
  <c r="T49" i="13"/>
  <c r="T50" i="13"/>
  <c r="T51" i="13"/>
  <c r="T52" i="13"/>
  <c r="T53" i="13"/>
  <c r="T54" i="13"/>
  <c r="T55" i="13"/>
  <c r="T56" i="13"/>
  <c r="T57" i="13"/>
  <c r="T58" i="13"/>
  <c r="T59" i="13"/>
  <c r="T60" i="13"/>
  <c r="T61" i="13"/>
  <c r="T62" i="13"/>
  <c r="T63" i="13"/>
  <c r="T64" i="13"/>
  <c r="T65" i="13"/>
  <c r="H90" i="17" l="1"/>
  <c r="K90" i="17"/>
  <c r="J90" i="17"/>
  <c r="B169" i="4"/>
  <c r="A170" i="4"/>
  <c r="A171" i="4" s="1"/>
  <c r="A172" i="4" s="1"/>
  <c r="A173" i="4" s="1"/>
  <c r="A174" i="4" s="1"/>
  <c r="A175" i="4" s="1"/>
  <c r="A176" i="4" s="1"/>
  <c r="A177" i="4" s="1"/>
  <c r="B177" i="4" s="1"/>
  <c r="F96" i="17"/>
  <c r="F97" i="17"/>
  <c r="G96" i="17"/>
  <c r="G97" i="17"/>
  <c r="D93" i="17"/>
  <c r="B168" i="4"/>
  <c r="B93" i="17"/>
  <c r="I93" i="17"/>
  <c r="C168" i="4"/>
  <c r="C185" i="17"/>
  <c r="C94" i="17"/>
  <c r="C128" i="17"/>
  <c r="C138" i="17" s="1"/>
  <c r="C149" i="17" s="1"/>
  <c r="B205" i="17"/>
  <c r="K210" i="17"/>
  <c r="I210" i="17"/>
  <c r="I221" i="17" s="1"/>
  <c r="J210" i="17"/>
  <c r="J219" i="17" s="1"/>
  <c r="H210" i="17"/>
  <c r="H221" i="17" s="1"/>
  <c r="G210" i="17"/>
  <c r="E96" i="17"/>
  <c r="E97" i="17"/>
  <c r="H96" i="17"/>
  <c r="H97" i="17"/>
  <c r="J93" i="17"/>
  <c r="G90" i="17"/>
  <c r="G139" i="17" s="1"/>
  <c r="G150" i="17" s="1"/>
  <c r="K89" i="17"/>
  <c r="K91" i="17" s="1"/>
  <c r="K138" i="17"/>
  <c r="K149" i="17" s="1"/>
  <c r="J139" i="17"/>
  <c r="J150" i="17" s="1"/>
  <c r="K139" i="17"/>
  <c r="J137" i="17"/>
  <c r="J89" i="17"/>
  <c r="J91" i="17" s="1"/>
  <c r="H139" i="17"/>
  <c r="H150" i="17" s="1"/>
  <c r="I139" i="17"/>
  <c r="I137" i="17"/>
  <c r="I148" i="17" s="1"/>
  <c r="G89" i="17"/>
  <c r="H89" i="17"/>
  <c r="D91" i="17"/>
  <c r="E90" i="17"/>
  <c r="G148" i="17"/>
  <c r="I89" i="17"/>
  <c r="I91" i="17" s="1"/>
  <c r="F89" i="17"/>
  <c r="C90"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G221" i="17" l="1"/>
  <c r="F93" i="17"/>
  <c r="J221" i="17"/>
  <c r="I219" i="17"/>
  <c r="K214" i="17"/>
  <c r="K216" i="17"/>
  <c r="K218" i="17"/>
  <c r="K217" i="17"/>
  <c r="K212" i="17"/>
  <c r="K213" i="17"/>
  <c r="K215" i="17"/>
  <c r="K219" i="17"/>
  <c r="K220" i="17"/>
  <c r="H93" i="17"/>
  <c r="D128" i="17"/>
  <c r="D94" i="17"/>
  <c r="D185" i="17"/>
  <c r="K221" i="17"/>
  <c r="C227" i="17"/>
  <c r="C239" i="17"/>
  <c r="C210" i="17"/>
  <c r="C221" i="17" s="1"/>
  <c r="E93" i="17"/>
  <c r="G93" i="17"/>
  <c r="G216" i="17"/>
  <c r="G213" i="17"/>
  <c r="G217" i="17"/>
  <c r="G214" i="17"/>
  <c r="G212" i="17"/>
  <c r="G215" i="17"/>
  <c r="G218" i="17"/>
  <c r="G219" i="17"/>
  <c r="F185" i="17"/>
  <c r="F128" i="17"/>
  <c r="F94" i="17"/>
  <c r="H216" i="17"/>
  <c r="H212" i="17"/>
  <c r="H217" i="17"/>
  <c r="H214" i="17"/>
  <c r="H213" i="17"/>
  <c r="H218" i="17"/>
  <c r="H215" i="17"/>
  <c r="H219" i="17"/>
  <c r="J215" i="17"/>
  <c r="J212" i="17"/>
  <c r="J214" i="17"/>
  <c r="J217" i="17"/>
  <c r="J213" i="17"/>
  <c r="J216" i="17"/>
  <c r="J218" i="17"/>
  <c r="C130" i="17"/>
  <c r="C141" i="17" s="1"/>
  <c r="C131" i="17"/>
  <c r="C142" i="17" s="1"/>
  <c r="C132" i="17"/>
  <c r="C143" i="17" s="1"/>
  <c r="C133" i="17"/>
  <c r="C144" i="17" s="1"/>
  <c r="C134" i="17"/>
  <c r="C145" i="17" s="1"/>
  <c r="C135" i="17"/>
  <c r="C146" i="17" s="1"/>
  <c r="C136" i="17"/>
  <c r="C147" i="17" s="1"/>
  <c r="C137" i="17"/>
  <c r="C148" i="17" s="1"/>
  <c r="B94" i="17"/>
  <c r="B185" i="17" s="1"/>
  <c r="B128" i="17"/>
  <c r="B130" i="17" s="1"/>
  <c r="B141" i="17" s="1"/>
  <c r="I217" i="17"/>
  <c r="I212" i="17"/>
  <c r="I218" i="17"/>
  <c r="I213" i="17"/>
  <c r="I215" i="17"/>
  <c r="I214" i="17"/>
  <c r="I216" i="17"/>
  <c r="J138" i="17"/>
  <c r="J149" i="17" s="1"/>
  <c r="J220" i="17"/>
  <c r="J148" i="17"/>
  <c r="K150" i="17"/>
  <c r="K152" i="17" s="1"/>
  <c r="K151" i="17"/>
  <c r="K153" i="17" s="1"/>
  <c r="F91" i="17"/>
  <c r="H220" i="17"/>
  <c r="H138" i="17"/>
  <c r="H91" i="17"/>
  <c r="I220" i="17"/>
  <c r="I138" i="17"/>
  <c r="I149" i="17" s="1"/>
  <c r="G220" i="17"/>
  <c r="G138" i="17"/>
  <c r="I150" i="17"/>
  <c r="C139" i="17"/>
  <c r="C91" i="17"/>
  <c r="E91" i="17"/>
  <c r="G91" i="17"/>
  <c r="B86" i="17"/>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C62" i="13" s="1"/>
  <c r="E50" i="13"/>
  <c r="E49" i="13"/>
  <c r="E47" i="13"/>
  <c r="E46" i="13"/>
  <c r="K222" i="17" l="1"/>
  <c r="K223" i="17" s="1"/>
  <c r="K226" i="17" s="1"/>
  <c r="D239" i="17"/>
  <c r="D227" i="17"/>
  <c r="D210" i="17"/>
  <c r="D130" i="17"/>
  <c r="D131" i="17"/>
  <c r="D142" i="17" s="1"/>
  <c r="D132" i="17"/>
  <c r="D143" i="17" s="1"/>
  <c r="D133" i="17"/>
  <c r="D144" i="17" s="1"/>
  <c r="D134" i="17"/>
  <c r="D145" i="17" s="1"/>
  <c r="D136" i="17"/>
  <c r="D147" i="17" s="1"/>
  <c r="D135" i="17"/>
  <c r="D146" i="17" s="1"/>
  <c r="D137" i="17"/>
  <c r="D148" i="17" s="1"/>
  <c r="D139" i="17"/>
  <c r="D150" i="17" s="1"/>
  <c r="D138" i="17"/>
  <c r="D149" i="17" s="1"/>
  <c r="B239" i="17"/>
  <c r="B227" i="17"/>
  <c r="B210" i="17"/>
  <c r="F131" i="17"/>
  <c r="F142" i="17" s="1"/>
  <c r="F130" i="17"/>
  <c r="F141" i="17" s="1"/>
  <c r="F132" i="17"/>
  <c r="F143" i="17" s="1"/>
  <c r="F133" i="17"/>
  <c r="F144" i="17" s="1"/>
  <c r="F134" i="17"/>
  <c r="F145" i="17" s="1"/>
  <c r="F135" i="17"/>
  <c r="F146" i="17" s="1"/>
  <c r="F136" i="17"/>
  <c r="F147" i="17" s="1"/>
  <c r="F137" i="17"/>
  <c r="F148" i="17" s="1"/>
  <c r="F139" i="17"/>
  <c r="F150" i="17" s="1"/>
  <c r="H222" i="17"/>
  <c r="H223" i="17" s="1"/>
  <c r="H226" i="17" s="1"/>
  <c r="F138" i="17"/>
  <c r="F149" i="17" s="1"/>
  <c r="F152" i="17" s="1"/>
  <c r="I222" i="17"/>
  <c r="I223" i="17" s="1"/>
  <c r="I226" i="17" s="1"/>
  <c r="F227" i="17"/>
  <c r="F239" i="17"/>
  <c r="F210" i="17"/>
  <c r="J222" i="17"/>
  <c r="J223" i="17" s="1"/>
  <c r="J226" i="17" s="1"/>
  <c r="E128" i="17"/>
  <c r="E94" i="17"/>
  <c r="E185" i="17"/>
  <c r="G222" i="17"/>
  <c r="G223" i="17" s="1"/>
  <c r="G226" i="17" s="1"/>
  <c r="C212" i="17"/>
  <c r="C215" i="17"/>
  <c r="C216" i="17"/>
  <c r="C217" i="17"/>
  <c r="C213" i="17"/>
  <c r="C214" i="17"/>
  <c r="C219" i="17"/>
  <c r="C218" i="17"/>
  <c r="C220" i="17"/>
  <c r="I152" i="17"/>
  <c r="J152" i="17"/>
  <c r="I151" i="17"/>
  <c r="I153" i="17" s="1"/>
  <c r="K154" i="17"/>
  <c r="J151" i="17"/>
  <c r="J153" i="17" s="1"/>
  <c r="G149" i="17"/>
  <c r="G152" i="17" s="1"/>
  <c r="G151" i="17"/>
  <c r="G153" i="17" s="1"/>
  <c r="H149" i="17"/>
  <c r="H152" i="17" s="1"/>
  <c r="H151" i="17"/>
  <c r="H153" i="17" s="1"/>
  <c r="C150" i="17"/>
  <c r="C152" i="17" s="1"/>
  <c r="C151" i="17"/>
  <c r="C153" i="17" s="1"/>
  <c r="B87" i="17"/>
  <c r="B77" i="17"/>
  <c r="B66" i="17"/>
  <c r="B133" i="17"/>
  <c r="B144" i="17" s="1"/>
  <c r="B131" i="17"/>
  <c r="B142" i="17" s="1"/>
  <c r="B132" i="17"/>
  <c r="B143"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C222" i="17" l="1"/>
  <c r="C223" i="17" s="1"/>
  <c r="C226" i="17" s="1"/>
  <c r="F151" i="17"/>
  <c r="F153" i="17" s="1"/>
  <c r="B212" i="17"/>
  <c r="B213" i="17"/>
  <c r="B214" i="17"/>
  <c r="B216" i="17"/>
  <c r="B215" i="17"/>
  <c r="B218" i="17"/>
  <c r="E239" i="17"/>
  <c r="E227" i="17"/>
  <c r="E210" i="17"/>
  <c r="D141" i="17"/>
  <c r="D152" i="17" s="1"/>
  <c r="D151" i="17"/>
  <c r="D153" i="17" s="1"/>
  <c r="D218" i="17"/>
  <c r="D217" i="17"/>
  <c r="D216" i="17"/>
  <c r="D215" i="17"/>
  <c r="D214" i="17"/>
  <c r="D213" i="17"/>
  <c r="D212" i="17"/>
  <c r="D219" i="17"/>
  <c r="D221" i="17"/>
  <c r="D220" i="17"/>
  <c r="E131" i="17"/>
  <c r="E142" i="17" s="1"/>
  <c r="E130" i="17"/>
  <c r="E132" i="17"/>
  <c r="E143" i="17" s="1"/>
  <c r="E133" i="17"/>
  <c r="E144" i="17" s="1"/>
  <c r="E134" i="17"/>
  <c r="E145" i="17" s="1"/>
  <c r="E135" i="17"/>
  <c r="E146" i="17" s="1"/>
  <c r="E136" i="17"/>
  <c r="E147" i="17" s="1"/>
  <c r="E137" i="17"/>
  <c r="E148" i="17" s="1"/>
  <c r="E138" i="17"/>
  <c r="E149" i="17" s="1"/>
  <c r="E139" i="17"/>
  <c r="E150" i="17" s="1"/>
  <c r="F217" i="17"/>
  <c r="F214" i="17"/>
  <c r="F216" i="17"/>
  <c r="F218" i="17"/>
  <c r="F213" i="17"/>
  <c r="F212" i="17"/>
  <c r="F215" i="17"/>
  <c r="F219" i="17"/>
  <c r="F221" i="17"/>
  <c r="F220" i="17"/>
  <c r="B217" i="17"/>
  <c r="I154" i="17"/>
  <c r="J154" i="17"/>
  <c r="C154" i="17"/>
  <c r="G154" i="17"/>
  <c r="H154" i="17"/>
  <c r="B78" i="17"/>
  <c r="B67" i="17"/>
  <c r="B79" i="17" s="1"/>
  <c r="B88" i="17"/>
  <c r="B219" i="17" s="1"/>
  <c r="B134" i="17"/>
  <c r="B145"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F222" i="17" l="1"/>
  <c r="F223" i="17" s="1"/>
  <c r="F226" i="17" s="1"/>
  <c r="F154" i="17"/>
  <c r="E217" i="17"/>
  <c r="E214" i="17"/>
  <c r="E218" i="17"/>
  <c r="E213" i="17"/>
  <c r="E212" i="17"/>
  <c r="E216" i="17"/>
  <c r="E215" i="17"/>
  <c r="E219" i="17"/>
  <c r="E220" i="17"/>
  <c r="E221" i="17"/>
  <c r="E141" i="17"/>
  <c r="E152" i="17" s="1"/>
  <c r="E151" i="17"/>
  <c r="E153" i="17" s="1"/>
  <c r="T16" i="1"/>
  <c r="U16" i="1" s="1"/>
  <c r="V16" i="1" s="1"/>
  <c r="D222" i="17"/>
  <c r="D223" i="17" s="1"/>
  <c r="D226" i="17" s="1"/>
  <c r="D154" i="17"/>
  <c r="B89" i="17"/>
  <c r="B220" i="17" s="1"/>
  <c r="B90" i="17"/>
  <c r="B221" i="17" s="1"/>
  <c r="B135" i="17"/>
  <c r="B146"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H50" i="1"/>
  <c r="K51" i="1" s="1"/>
  <c r="H88" i="1"/>
  <c r="I15" i="1"/>
  <c r="J15" i="1" s="1"/>
  <c r="I14" i="1"/>
  <c r="J14" i="1" s="1"/>
  <c r="I16" i="1"/>
  <c r="J16" i="1" s="1"/>
  <c r="I17" i="1"/>
  <c r="J17" i="1" s="1"/>
  <c r="I18" i="1"/>
  <c r="J18" i="1" s="1"/>
  <c r="I22" i="1"/>
  <c r="J22" i="1" s="1"/>
  <c r="I19" i="1"/>
  <c r="J19" i="1" s="1"/>
  <c r="I20" i="1"/>
  <c r="J20" i="1" s="1"/>
  <c r="I21" i="1"/>
  <c r="J21" i="1" s="1"/>
  <c r="E222" i="17" l="1"/>
  <c r="E223" i="17" s="1"/>
  <c r="E226" i="17" s="1"/>
  <c r="E154" i="17"/>
  <c r="T17" i="1"/>
  <c r="B222" i="17"/>
  <c r="B91" i="17"/>
  <c r="B139" i="17"/>
  <c r="B150" i="17" s="1"/>
  <c r="B136" i="17"/>
  <c r="B147"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223" i="17" l="1"/>
  <c r="B226" i="17" s="1"/>
  <c r="B137" i="17"/>
  <c r="B148" i="17" s="1"/>
  <c r="A184" i="4"/>
  <c r="B183" i="4"/>
  <c r="C183" i="4"/>
  <c r="Z47" i="13"/>
  <c r="R46" i="13"/>
  <c r="X46" i="13"/>
  <c r="AB46" i="13" s="1"/>
  <c r="AC46" i="13"/>
  <c r="Y45" i="13"/>
  <c r="AC45" i="13" s="1"/>
  <c r="P47" i="13"/>
  <c r="AA47" i="13" s="1"/>
  <c r="N47" i="13"/>
  <c r="O47" i="13" s="1"/>
  <c r="K49" i="13"/>
  <c r="AF49" i="13" s="1"/>
  <c r="AD48" i="13"/>
  <c r="AE48" i="13"/>
  <c r="M48" i="13"/>
  <c r="X45" i="13"/>
  <c r="AB45" i="13" s="1"/>
  <c r="AA46"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8" i="17" l="1"/>
  <c r="B149"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51" i="17" l="1"/>
  <c r="B153" i="17" s="1"/>
  <c r="B152"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4"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51" i="16" s="1"/>
  <c r="L51" i="16" s="1"/>
  <c r="N4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F227" authorId="0" shapeId="0" xr:uid="{00000000-0006-0000-0000-00000100000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Leonardo Valadez Ortiz</author>
  </authors>
  <commentList>
    <comment ref="A12" authorId="0" shapeId="0" xr:uid="{00000000-0006-0000-0100-000001000000}">
      <text>
        <r>
          <rPr>
            <b/>
            <sz val="9"/>
            <color indexed="81"/>
            <rFont val="Tahoma"/>
            <family val="2"/>
          </rPr>
          <t>Juan Leonardo Valadez Ortiz:</t>
        </r>
        <r>
          <rPr>
            <sz val="9"/>
            <color indexed="81"/>
            <rFont val="Tahoma"/>
            <family val="2"/>
          </rPr>
          <t xml:space="preserve">
Slimness "delgadez" que tan delgado es el cohete en relación a su largo</t>
        </r>
      </text>
    </comment>
    <comment ref="A14" authorId="0" shapeId="0" xr:uid="{00000000-0006-0000-0100-000002000000}">
      <text>
        <r>
          <rPr>
            <b/>
            <sz val="9"/>
            <color indexed="81"/>
            <rFont val="Tahoma"/>
            <family val="2"/>
          </rPr>
          <t>Juan Leonardo Valadez Ortiz:</t>
        </r>
        <r>
          <rPr>
            <sz val="9"/>
            <color indexed="81"/>
            <rFont val="Tahoma"/>
            <family val="2"/>
          </rPr>
          <t xml:space="preserve">
F=ma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T22" authorId="0" shapeId="0" xr:uid="{00000000-0006-0000-0300-000001000000}">
      <text>
        <r>
          <rPr>
            <b/>
            <sz val="9"/>
            <color indexed="81"/>
            <rFont val="Tahoma"/>
            <family val="2"/>
          </rPr>
          <t>Archimedean2345:</t>
        </r>
        <r>
          <rPr>
            <sz val="9"/>
            <color indexed="81"/>
            <rFont val="Tahoma"/>
            <family val="2"/>
          </rPr>
          <t xml:space="preserve">
Ixx= Σm(y^2 + z^2)
Iyy= Σm(x^2 + z^2)
Izz= Σm(x^2 + y^2)
Ixy= Iyx= Σmxy
Ixz= Izx= Σmxz
Iyz= Izy= Σmyz</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Leonardo Valadez Ortiz</author>
  </authors>
  <commentList>
    <comment ref="A171" authorId="0" shapeId="0" xr:uid="{00000000-0006-0000-0500-000001000000}">
      <text>
        <r>
          <rPr>
            <b/>
            <sz val="9"/>
            <color indexed="81"/>
            <rFont val="Tahoma"/>
            <family val="2"/>
          </rPr>
          <t>Leonardo Valadez Ortiz:</t>
        </r>
        <r>
          <rPr>
            <sz val="9"/>
            <color indexed="81"/>
            <rFont val="Tahoma"/>
            <family val="2"/>
          </rPr>
          <t xml:space="preserve">
Reynolds &gt; viscosity
Mach &gt; compressibility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Archimedean2345</author>
  </authors>
  <commentList>
    <comment ref="B11" authorId="0" shapeId="0" xr:uid="{00000000-0006-0000-0800-000001000000}">
      <text>
        <r>
          <rPr>
            <b/>
            <sz val="9"/>
            <color indexed="81"/>
            <rFont val="Tahoma"/>
            <family val="2"/>
          </rPr>
          <t>Archimedean2345:</t>
        </r>
        <r>
          <rPr>
            <sz val="9"/>
            <color indexed="81"/>
            <rFont val="Tahoma"/>
            <family val="2"/>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xr:uid="{00000000-0006-0000-0800-00000200000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xr:uid="{00000000-0006-0000-0800-00000300000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xr:uid="{00000000-0006-0000-0800-00000400000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xr:uid="{00000000-0006-0000-0800-00000500000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xr:uid="{00000000-0006-0000-0800-000006000000}">
      <text>
        <r>
          <rPr>
            <b/>
            <sz val="9"/>
            <color indexed="81"/>
            <rFont val="Tahoma"/>
            <family val="2"/>
          </rPr>
          <t>Archimedean2345:</t>
        </r>
        <r>
          <rPr>
            <sz val="9"/>
            <color indexed="81"/>
            <rFont val="Tahoma"/>
            <family val="2"/>
          </rPr>
          <t xml:space="preserve">
pp 823 de Fundamentals of Aerodynamics, drag by friction </t>
        </r>
      </text>
    </comment>
    <comment ref="X44" authorId="0" shapeId="0" xr:uid="{00000000-0006-0000-0800-000007000000}">
      <text>
        <r>
          <rPr>
            <b/>
            <sz val="9"/>
            <color indexed="81"/>
            <rFont val="Tahoma"/>
            <family val="2"/>
          </rPr>
          <t>Archimedean2345:</t>
        </r>
        <r>
          <rPr>
            <sz val="9"/>
            <color indexed="81"/>
            <rFont val="Tahoma"/>
            <family val="2"/>
          </rPr>
          <t xml:space="preserve">
The drag force is equal to:
D= Dform + Dfriction + Dinterference + Dind + Dwave
where: 
0.015 &lt;Cdform &lt; 0.003
Cdinterf.= 0.2(Cdfrict + Cdform)</t>
        </r>
      </text>
    </comment>
    <comment ref="Y44" authorId="0" shapeId="0" xr:uid="{00000000-0006-0000-0800-00000800000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xr:uid="{00000000-0006-0000-0800-00000900000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<sst xmlns="http://schemas.openxmlformats.org/spreadsheetml/2006/main" count="974" uniqueCount="624">
  <si>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</si>
  <si>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</si>
  <si>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</si>
  <si>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</si>
  <si>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</si>
  <si>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</si>
  <si>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</si>
  <si>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</si>
  <si>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</si>
  <si>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</si>
  <si>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</si>
  <si>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</si>
  <si>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</si>
  <si>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</si>
  <si>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</si>
  <si>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</si>
  <si>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</si>
  <si>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</si>
  <si>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</si>
  <si>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</si>
  <si>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</si>
  <si>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</si>
  <si>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</si>
  <si>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</si>
  <si>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</si>
  <si>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</si>
  <si>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</si>
  <si>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</si>
  <si>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</si>
  <si>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</si>
  <si>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</si>
  <si>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</si>
  <si>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</si>
  <si>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</si>
  <si>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</si>
  <si>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</si>
  <si>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</si>
  <si>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</si>
  <si>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</si>
  <si>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</si>
  <si>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</si>
  <si>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</si>
  <si>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</si>
  <si>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</si>
  <si>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</si>
  <si>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</si>
  <si>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</si>
  <si>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</si>
  <si>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</si>
  <si>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</si>
  <si>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</si>
  <si>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</si>
  <si>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</si>
  <si>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</si>
  <si>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</si>
  <si>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</si>
  <si>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</si>
  <si>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</si>
  <si>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</si>
  <si>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</si>
  <si>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</si>
  <si>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</si>
  <si>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</si>
  <si>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</si>
  <si>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</si>
  <si>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</si>
  <si>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</si>
  <si>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</si>
  <si>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</si>
  <si>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</si>
  <si>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</si>
  <si>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</si>
  <si>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</si>
  <si>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</si>
  <si>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</si>
  <si>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</si>
  <si>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</si>
  <si>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</si>
  <si>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</si>
  <si>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</si>
  <si>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</si>
  <si>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</si>
  <si>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</si>
  <si>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</si>
  <si>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</si>
  <si>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</si>
  <si>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</si>
  <si>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</si>
  <si>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</si>
  <si>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</si>
  <si>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</si>
  <si>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</si>
  <si>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</si>
  <si>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</si>
  <si>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</si>
  <si>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</si>
  <si>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</si>
  <si>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</si>
  <si>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</si>
  <si>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</si>
  <si>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</si>
  <si>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</si>
  <si>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</si>
  <si>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</si>
  <si>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</si>
  <si>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</si>
  <si>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</si>
  <si>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</si>
  <si>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</si>
  <si>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</si>
  <si>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</si>
  <si>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</si>
  <si>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</si>
  <si>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</si>
  <si>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</si>
  <si>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</si>
  <si>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</si>
  <si>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</si>
  <si>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</si>
  <si>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</si>
  <si>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</si>
  <si>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</si>
  <si>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</si>
  <si>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</si>
  <si>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</si>
  <si>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</si>
  <si>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</si>
  <si>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</si>
  <si>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</si>
  <si>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</si>
  <si>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</si>
  <si>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</si>
  <si>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</si>
  <si>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</si>
  <si>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</si>
  <si>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</si>
  <si>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</si>
  <si>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</si>
  <si>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</si>
  <si>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</si>
  <si>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</si>
  <si>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</si>
  <si>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</si>
  <si>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</si>
  <si>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</si>
  <si>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</si>
  <si>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</si>
  <si>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</si>
  <si>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</si>
  <si>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</si>
  <si>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</si>
  <si>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</si>
  <si>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</si>
  <si>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</si>
  <si>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</si>
  <si>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</si>
  <si>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</si>
  <si>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</si>
  <si>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</si>
  <si>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</si>
  <si>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</si>
  <si>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</si>
  <si>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</si>
  <si>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</si>
  <si>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</si>
  <si>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</si>
  <si>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</si>
  <si>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</si>
  <si>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</si>
  <si>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</si>
  <si>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</si>
  <si>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</si>
  <si>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</si>
  <si>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</si>
  <si>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</si>
  <si>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</si>
  <si>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</si>
  <si>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</si>
  <si>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</si>
  <si>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</si>
  <si>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</si>
  <si>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</si>
  <si>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</si>
  <si>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</si>
  <si>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</si>
  <si>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</si>
  <si>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</si>
  <si>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</si>
  <si>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</si>
  <si>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</si>
  <si>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</si>
  <si>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</si>
  <si>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</si>
  <si>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</si>
  <si>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</si>
  <si>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</si>
  <si>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</si>
  <si>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</si>
  <si>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</si>
  <si>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</si>
  <si>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</si>
  <si>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</si>
  <si>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</si>
  <si>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</si>
  <si>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</si>
  <si>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</si>
  <si>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</si>
  <si>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</si>
  <si>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</si>
  <si>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</si>
  <si>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</si>
  <si>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</si>
  <si>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</si>
  <si>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</si>
  <si>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</si>
  <si>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</si>
  <si>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</si>
  <si>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</si>
  <si>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</si>
  <si>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</si>
  <si>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</si>
  <si>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</si>
  <si>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</si>
  <si>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</si>
  <si>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</si>
  <si>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</si>
  <si>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</si>
  <si>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</si>
  <si>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</si>
  <si>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</si>
  <si>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</si>
  <si>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</si>
  <si>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</si>
  <si>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</si>
  <si>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</si>
  <si>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</si>
  <si>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</si>
  <si>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</si>
  <si>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</si>
  <si>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</si>
  <si>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</si>
  <si>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</si>
  <si>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</si>
  <si>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</si>
  <si>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</si>
  <si>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</si>
  <si>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</si>
  <si>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</si>
  <si>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</si>
  <si>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</si>
  <si>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</si>
  <si>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</si>
  <si>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</si>
  <si>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</si>
  <si>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</si>
  <si>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</si>
  <si>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</si>
  <si>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</si>
  <si>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</si>
  <si>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</si>
  <si>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</si>
  <si>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</si>
  <si>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</si>
  <si>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</si>
  <si>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</si>
  <si>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</si>
  <si>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</si>
  <si>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</si>
  <si>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</si>
  <si>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</si>
  <si>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</si>
  <si>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</si>
  <si>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</si>
  <si>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</si>
  <si>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</si>
  <si>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</si>
  <si>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</si>
  <si>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</si>
  <si>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</si>
  <si>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</si>
  <si>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</si>
  <si>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</si>
  <si>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</si>
  <si>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</si>
  <si>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</si>
  <si>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</si>
  <si>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</si>
  <si>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</si>
  <si>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</si>
  <si>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</si>
  <si>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</si>
  <si>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</si>
  <si>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</si>
  <si>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</si>
  <si>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</si>
  <si>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</si>
  <si>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</si>
  <si>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</si>
  <si>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</si>
  <si>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</si>
  <si>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</si>
  <si>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</si>
  <si>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</si>
  <si>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</si>
  <si>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</si>
  <si>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</si>
  <si>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</si>
  <si>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</si>
  <si>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</si>
  <si>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</si>
  <si>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</si>
  <si>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</si>
  <si>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</si>
  <si>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</si>
  <si>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</si>
  <si>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</si>
  <si>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</si>
  <si>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</si>
  <si>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</si>
  <si>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</si>
  <si>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</si>
  <si>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</si>
  <si>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</si>
  <si>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</si>
  <si>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</si>
  <si>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</si>
  <si>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</si>
  <si>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</si>
  <si>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</si>
  <si>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</si>
  <si>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</si>
  <si>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</si>
  <si>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</si>
  <si>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</si>
  <si>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</si>
  <si>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</si>
  <si>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</si>
  <si>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</si>
  <si>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</si>
  <si>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</si>
  <si>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</si>
  <si>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</si>
  <si>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</si>
  <si>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</si>
  <si>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</si>
  <si>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</si>
  <si>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</si>
  <si>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</si>
  <si>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</si>
  <si>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</si>
  <si>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</si>
  <si>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</si>
  <si>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</si>
  <si>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</si>
  <si>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</si>
  <si>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</si>
  <si>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</si>
  <si>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</si>
  <si>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</si>
  <si>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</si>
  <si>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</si>
  <si>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</si>
  <si>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</si>
  <si>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</si>
  <si>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</si>
  <si>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</si>
  <si>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</si>
  <si>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</si>
  <si>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</si>
  <si>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</si>
  <si>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</si>
  <si>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</si>
  <si>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</si>
  <si>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</si>
  <si>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</si>
  <si>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</si>
  <si>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</si>
  <si>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</si>
  <si>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</si>
  <si>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</si>
  <si>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</si>
  <si>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</si>
  <si>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</si>
  <si>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</si>
  <si>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</si>
  <si>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</si>
  <si>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</si>
  <si>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</si>
  <si>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</si>
  <si>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</si>
  <si>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</si>
  <si>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</si>
  <si>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</si>
  <si>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</si>
  <si>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</si>
  <si>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</si>
  <si>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</si>
  <si>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</si>
  <si>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</si>
  <si>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</si>
  <si>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</si>
  <si>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</si>
  <si>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</si>
  <si>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</si>
  <si>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</si>
  <si>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</si>
  <si>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</si>
  <si>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</si>
  <si>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</si>
  <si>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</si>
  <si>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</si>
  <si>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</si>
  <si>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</si>
  <si>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</si>
  <si>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</si>
  <si>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</si>
  <si>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</si>
  <si>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</si>
  <si>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</si>
  <si>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</si>
  <si>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</si>
  <si>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</si>
  <si>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</si>
  <si>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</si>
  <si>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</si>
  <si>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</si>
  <si>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</si>
  <si>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</si>
  <si>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</si>
  <si>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</si>
  <si>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</si>
  <si>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</si>
  <si>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</si>
  <si>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</si>
  <si>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</si>
  <si>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</si>
  <si>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</si>
  <si>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</si>
  <si>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</si>
  <si>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</si>
  <si>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</si>
  <si>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</si>
  <si>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</si>
  <si>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</si>
  <si>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</si>
  <si>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</si>
  <si>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</si>
  <si>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</si>
  <si>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</si>
  <si>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</si>
  <si>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</si>
  <si>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</si>
  <si>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</si>
  <si>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</si>
  <si>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</si>
  <si>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</si>
  <si>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</si>
  <si>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</si>
  <si>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</si>
  <si>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</si>
  <si>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</si>
  <si>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</si>
  <si>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</si>
  <si>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</si>
  <si>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</si>
  <si>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</si>
  <si>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</si>
  <si>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</si>
  <si>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</si>
  <si>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</si>
  <si>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</si>
  <si>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</si>
  <si>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</si>
  <si>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</si>
  <si>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</si>
  <si>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</si>
  <si>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</si>
  <si>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</si>
  <si>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</si>
  <si>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</si>
  <si>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</si>
  <si>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</si>
  <si>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</si>
  <si>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</si>
  <si>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</si>
  <si>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</si>
  <si>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</si>
  <si>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</si>
  <si>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</si>
  <si>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</si>
  <si>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</si>
  <si>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</si>
  <si>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</si>
  <si>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</si>
  <si>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</si>
  <si>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</si>
  <si>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</si>
  <si>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</si>
  <si>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</si>
  <si>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</si>
  <si>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</si>
  <si>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</si>
  <si>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</si>
  <si>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</si>
  <si>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</si>
  <si>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</si>
  <si>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</si>
  <si>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</si>
  <si>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</si>
  <si>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</si>
  <si>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</si>
  <si>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</si>
  <si>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</si>
  <si>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</si>
  <si>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</si>
  <si>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</si>
  <si>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</si>
  <si>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</si>
  <si>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</si>
  <si>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</si>
  <si>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</si>
  <si>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</si>
  <si>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</si>
  <si>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</si>
  <si>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</si>
  <si>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</si>
  <si>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</si>
  <si>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</si>
  <si>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</si>
  <si>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</si>
  <si>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</si>
  <si>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</si>
  <si>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</si>
  <si>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</si>
  <si>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</si>
  <si>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</si>
  <si>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</si>
  <si>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</si>
  <si>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</si>
  <si>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</si>
  <si>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</si>
  <si>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</si>
  <si>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</si>
  <si>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</si>
  <si>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</si>
  <si>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</si>
  <si>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</si>
  <si>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</si>
  <si>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</si>
  <si>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</si>
  <si>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</si>
  <si>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</si>
  <si>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</si>
  <si>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</si>
  <si>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</si>
  <si>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</si>
  <si>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</si>
  <si>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</si>
  <si>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</si>
  <si>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</si>
  <si>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</si>
  <si>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</si>
  <si>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</si>
  <si>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</si>
  <si>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</si>
  <si>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</si>
  <si>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</si>
  <si>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</si>
  <si>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</si>
  <si>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</si>
  <si>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</si>
  <si>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</si>
  <si>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</si>
  <si>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y (wall separation, mm)</t>
  </si>
  <si>
    <t>y (wall separation, m)</t>
  </si>
  <si>
    <t>First term</t>
  </si>
  <si>
    <t>Chord y+ segmentation</t>
  </si>
  <si>
    <t>Total Area Sum m^2</t>
  </si>
  <si>
    <t xml:space="preserve">Linearized theoretical data </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</si>
  <si>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</si>
  <si>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</si>
  <si>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</si>
  <si>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</si>
  <si>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</si>
  <si>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</si>
  <si>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</si>
  <si>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</si>
  <si>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</si>
  <si>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</si>
  <si>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</si>
  <si>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</si>
  <si>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</si>
  <si>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</si>
  <si>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</si>
  <si>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</si>
  <si>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</si>
  <si>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</si>
  <si>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</si>
  <si>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</si>
  <si>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</si>
  <si>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</si>
  <si>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TOTAL Lift</t>
  </si>
  <si>
    <t>Pitch moment due Q rate</t>
  </si>
  <si>
    <t>Aerodynamic theoretical STATIC forces per fin</t>
  </si>
  <si>
    <t>Cm,q (damping)</t>
  </si>
  <si>
    <t>Mean aerodynamic chord (MAC)</t>
  </si>
  <si>
    <t>Cl due q rate rad/s (Cl,q)</t>
  </si>
  <si>
    <t>Reference length dx = (x,cp - x.cg)</t>
  </si>
  <si>
    <t>dCL/dAlpha due Mach (AoA&lt;25 deg, in rad)</t>
  </si>
  <si>
    <t xml:space="preserve">dCm,q /dq due Mach </t>
  </si>
  <si>
    <t xml:space="preserve">dCm,AoA /dAoA due Mach </t>
  </si>
  <si>
    <t>Mach (std temp 288K, 1 atm, vel in m/s)</t>
  </si>
  <si>
    <t>chord Re segmentation (chord root)</t>
  </si>
  <si>
    <t>chord Re segmentation (chord  root)</t>
  </si>
  <si>
    <t>y+ for rocket length MAX RE</t>
  </si>
  <si>
    <t>sound speed SL</t>
  </si>
  <si>
    <t>T local</t>
  </si>
  <si>
    <t>AoA (deg) x,z Moment axis z</t>
  </si>
  <si>
    <t>AoA (deg) x,z Moment axis y</t>
  </si>
  <si>
    <t>AoA (deg) x,z Moment axis x</t>
  </si>
  <si>
    <t>Aref</t>
  </si>
  <si>
    <t>dynamic pressure (Pa. 0.5*rho*V^2)</t>
  </si>
  <si>
    <t>rho at  1 atm, 288K</t>
  </si>
  <si>
    <t>Reference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</si>
</sst>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000"/>
    <numFmt numFmtId="167" formatCode="0.0000"/>
    <numFmt numFmtId="168" formatCode="0.000E+00"/>
    <numFmt numFmtId="169" formatCode="0.00000"/>
    <numFmt numFmtId="170" formatCode="0.000000"/>
  </numFmts>
  <fonts count="17">
    <font>
      <sz val="11"/>
      <color theme="1"/>
      <name val="Aptos Narrow"/>
      <family val="2"/>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theme="0"/>
      <name val="Aptos Narrow"/>
      <family val="2"/>
      <scheme val="minor"/>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cellStyleXfs>
  <cellXfs count="395">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8"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8" fillId="2" borderId="20" xfId="0" applyFont="1" applyFill="1" applyBorder="1" applyAlignment="1">
      <alignment horizontal="left"/>
    </xf>
    <xf numFmtId="0" fontId="8" fillId="2" borderId="16" xfId="0" applyFont="1" applyFill="1" applyBorder="1" applyAlignment="1">
      <alignment horizontal="center"/>
    </xf>
    <xf numFmtId="0" fontId="8" fillId="2" borderId="25" xfId="0" applyFont="1" applyFill="1" applyBorder="1" applyAlignment="1">
      <alignment horizontal="center" vertical="center"/>
    </xf>
    <xf numFmtId="2" fontId="8" fillId="2" borderId="4" xfId="0" applyNumberFormat="1" applyFont="1" applyFill="1" applyBorder="1" applyAlignment="1">
      <alignment horizontal="center" vertical="center"/>
    </xf>
    <xf numFmtId="2" fontId="8" fillId="2" borderId="0" xfId="0" applyNumberFormat="1" applyFont="1" applyFill="1" applyAlignment="1">
      <alignment horizontal="center" vertical="center"/>
    </xf>
    <xf numFmtId="0" fontId="8" fillId="2" borderId="5" xfId="0" applyFont="1" applyFill="1" applyBorder="1" applyAlignment="1">
      <alignment horizontal="center" vertical="center"/>
    </xf>
    <xf numFmtId="2" fontId="8" fillId="2" borderId="6" xfId="0" applyNumberFormat="1" applyFont="1" applyFill="1" applyBorder="1" applyAlignment="1">
      <alignment horizontal="center" vertical="center"/>
    </xf>
    <xf numFmtId="2" fontId="8" fillId="2" borderId="21" xfId="0" applyNumberFormat="1" applyFont="1" applyFill="1" applyBorder="1" applyAlignment="1">
      <alignment horizontal="center" vertical="center"/>
    </xf>
    <xf numFmtId="0" fontId="8" fillId="2" borderId="7" xfId="0" applyFont="1" applyFill="1" applyBorder="1" applyAlignment="1">
      <alignment horizontal="center" vertical="center"/>
    </xf>
    <xf numFmtId="2" fontId="8" fillId="3" borderId="15" xfId="0" applyNumberFormat="1" applyFont="1" applyFill="1" applyBorder="1" applyAlignment="1">
      <alignment horizontal="center" vertical="center"/>
    </xf>
    <xf numFmtId="2" fontId="8" fillId="3" borderId="25" xfId="0" applyNumberFormat="1" applyFont="1" applyFill="1" applyBorder="1" applyAlignment="1">
      <alignment horizontal="center" vertical="center"/>
    </xf>
    <xf numFmtId="0" fontId="8" fillId="3" borderId="16" xfId="0" applyFont="1" applyFill="1" applyBorder="1" applyAlignment="1">
      <alignment horizontal="center" vertical="center"/>
    </xf>
    <xf numFmtId="2" fontId="8" fillId="2" borderId="0" xfId="0" applyNumberFormat="1" applyFont="1" applyFill="1" applyAlignment="1">
      <alignment horizontal="left" vertical="center"/>
    </xf>
    <xf numFmtId="0" fontId="8" fillId="2" borderId="0" xfId="0" applyFont="1" applyFill="1" applyAlignment="1">
      <alignment horizontal="left"/>
    </xf>
    <xf numFmtId="0" fontId="8" fillId="0" borderId="0" xfId="0" applyFont="1" applyAlignment="1">
      <alignment horizontal="left"/>
    </xf>
    <xf numFmtId="0" fontId="9" fillId="2" borderId="21" xfId="0" applyFont="1" applyFill="1" applyBorder="1" applyAlignment="1">
      <alignment horizontal="left"/>
    </xf>
    <xf numFmtId="0" fontId="9" fillId="2" borderId="0" xfId="0" applyFont="1" applyFill="1" applyAlignment="1">
      <alignment horizontal="left"/>
    </xf>
    <xf numFmtId="0" fontId="8" fillId="2" borderId="21" xfId="0" applyFont="1" applyFill="1" applyBorder="1" applyAlignment="1">
      <alignment horizontal="left"/>
    </xf>
    <xf numFmtId="0" fontId="10" fillId="6" borderId="0" xfId="0" applyFont="1" applyFill="1" applyAlignment="1">
      <alignment horizontal="left"/>
    </xf>
    <xf numFmtId="0" fontId="8" fillId="2" borderId="15" xfId="0" applyFont="1" applyFill="1" applyBorder="1" applyAlignment="1">
      <alignment horizontal="left"/>
    </xf>
    <xf numFmtId="0" fontId="8" fillId="2" borderId="25" xfId="0" applyFont="1" applyFill="1" applyBorder="1" applyAlignment="1">
      <alignment horizontal="left"/>
    </xf>
    <xf numFmtId="0" fontId="10" fillId="6" borderId="1" xfId="0" applyFont="1" applyFill="1" applyBorder="1" applyAlignment="1">
      <alignment horizontal="left"/>
    </xf>
    <xf numFmtId="0" fontId="8" fillId="2" borderId="25" xfId="0" applyFont="1" applyFill="1" applyBorder="1" applyAlignment="1">
      <alignment horizontal="left" vertical="center"/>
    </xf>
    <xf numFmtId="0" fontId="8" fillId="2" borderId="16" xfId="0" applyFont="1" applyFill="1" applyBorder="1" applyAlignment="1">
      <alignment horizontal="left"/>
    </xf>
    <xf numFmtId="0" fontId="8" fillId="2" borderId="7" xfId="0" applyFont="1" applyFill="1" applyBorder="1" applyAlignment="1">
      <alignment horizontal="left"/>
    </xf>
    <xf numFmtId="15" fontId="8" fillId="2" borderId="15" xfId="0" applyNumberFormat="1" applyFont="1" applyFill="1" applyBorder="1" applyAlignment="1">
      <alignment horizontal="left"/>
    </xf>
    <xf numFmtId="0" fontId="8" fillId="2" borderId="2" xfId="0" applyFont="1" applyFill="1" applyBorder="1" applyAlignment="1">
      <alignment horizontal="left"/>
    </xf>
    <xf numFmtId="0" fontId="8" fillId="2" borderId="3" xfId="0" applyFont="1" applyFill="1" applyBorder="1" applyAlignment="1">
      <alignment horizontal="left"/>
    </xf>
    <xf numFmtId="0" fontId="8" fillId="2" borderId="4" xfId="0" applyFont="1" applyFill="1" applyBorder="1" applyAlignment="1">
      <alignment horizontal="left"/>
    </xf>
    <xf numFmtId="0" fontId="8" fillId="2" borderId="5" xfId="0" applyFont="1" applyFill="1" applyBorder="1" applyAlignment="1">
      <alignment horizontal="left"/>
    </xf>
    <xf numFmtId="0" fontId="8" fillId="2" borderId="6" xfId="0" applyFont="1" applyFill="1" applyBorder="1" applyAlignment="1">
      <alignment horizontal="left"/>
    </xf>
    <xf numFmtId="0" fontId="0" fillId="2" borderId="0" xfId="0" applyFill="1" applyAlignment="1">
      <alignment horizontal="left"/>
    </xf>
    <xf numFmtId="0" fontId="9" fillId="2" borderId="1" xfId="0" applyFont="1" applyFill="1" applyBorder="1" applyAlignment="1">
      <alignment horizontal="left"/>
    </xf>
    <xf numFmtId="0" fontId="8" fillId="2" borderId="1" xfId="0" applyFont="1" applyFill="1" applyBorder="1" applyAlignment="1">
      <alignment horizontal="left"/>
    </xf>
    <xf numFmtId="0" fontId="8" fillId="2" borderId="0" xfId="0" applyFont="1" applyFill="1" applyAlignment="1">
      <alignment horizontal="left" vertical="center"/>
    </xf>
    <xf numFmtId="2" fontId="8" fillId="2" borderId="0" xfId="0" applyNumberFormat="1" applyFont="1" applyFill="1" applyAlignment="1">
      <alignment horizontal="left"/>
    </xf>
    <xf numFmtId="0" fontId="9" fillId="0" borderId="0" xfId="0" applyFont="1" applyAlignment="1">
      <alignment horizontal="left"/>
    </xf>
    <xf numFmtId="0" fontId="8" fillId="8" borderId="15" xfId="0" applyFont="1" applyFill="1" applyBorder="1" applyAlignment="1">
      <alignment horizontal="left" vertical="center"/>
    </xf>
    <xf numFmtId="0" fontId="11" fillId="8" borderId="16" xfId="0" applyFont="1" applyFill="1" applyBorder="1" applyAlignment="1">
      <alignment horizontal="left" vertical="center"/>
    </xf>
    <xf numFmtId="0" fontId="8" fillId="8" borderId="1" xfId="0" applyFont="1" applyFill="1" applyBorder="1" applyAlignment="1">
      <alignment horizontal="left"/>
    </xf>
    <xf numFmtId="0" fontId="8" fillId="0" borderId="4" xfId="0" applyFont="1" applyBorder="1" applyAlignment="1">
      <alignment horizontal="left" vertical="center"/>
    </xf>
    <xf numFmtId="0" fontId="8" fillId="0" borderId="5" xfId="0" applyFont="1" applyBorder="1" applyAlignment="1">
      <alignment horizontal="left" vertical="center"/>
    </xf>
    <xf numFmtId="9" fontId="8" fillId="0" borderId="17" xfId="2" applyFont="1" applyBorder="1" applyAlignment="1">
      <alignment horizontal="left" vertical="center"/>
    </xf>
    <xf numFmtId="9" fontId="8" fillId="0" borderId="18" xfId="2" applyFont="1" applyBorder="1" applyAlignment="1">
      <alignment horizontal="left" vertical="center"/>
    </xf>
    <xf numFmtId="0" fontId="9" fillId="7" borderId="4" xfId="0" applyFont="1" applyFill="1" applyBorder="1" applyAlignment="1">
      <alignment horizontal="left" vertical="center"/>
    </xf>
    <xf numFmtId="0" fontId="9" fillId="7" borderId="5" xfId="0" applyFont="1" applyFill="1" applyBorder="1" applyAlignment="1">
      <alignment horizontal="left" vertical="center"/>
    </xf>
    <xf numFmtId="9" fontId="9" fillId="7" borderId="5" xfId="2" applyFont="1" applyFill="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9" fontId="8" fillId="0" borderId="19" xfId="2" applyFont="1" applyBorder="1" applyAlignment="1">
      <alignment horizontal="left" vertical="center"/>
    </xf>
    <xf numFmtId="0" fontId="8" fillId="0" borderId="4" xfId="0" applyFont="1" applyBorder="1" applyAlignment="1">
      <alignment horizontal="left"/>
    </xf>
    <xf numFmtId="0" fontId="8" fillId="0" borderId="5" xfId="0" applyFont="1" applyBorder="1" applyAlignment="1">
      <alignment horizontal="left"/>
    </xf>
    <xf numFmtId="0" fontId="8" fillId="0" borderId="17" xfId="0" applyFont="1" applyBorder="1" applyAlignment="1">
      <alignment horizontal="left"/>
    </xf>
    <xf numFmtId="0" fontId="8" fillId="0" borderId="18" xfId="0" applyFont="1" applyBorder="1" applyAlignment="1">
      <alignment horizontal="left"/>
    </xf>
    <xf numFmtId="0" fontId="8" fillId="0" borderId="19" xfId="0" applyFont="1" applyBorder="1" applyAlignment="1">
      <alignment horizontal="left"/>
    </xf>
    <xf numFmtId="0" fontId="8" fillId="10" borderId="15" xfId="0" applyFont="1" applyFill="1" applyBorder="1" applyAlignment="1">
      <alignment horizontal="left"/>
    </xf>
    <xf numFmtId="0" fontId="8" fillId="10" borderId="16" xfId="0" applyFont="1" applyFill="1" applyBorder="1" applyAlignment="1">
      <alignment horizontal="left"/>
    </xf>
    <xf numFmtId="9" fontId="8" fillId="10" borderId="25" xfId="2" applyFont="1" applyFill="1" applyBorder="1" applyAlignment="1">
      <alignment horizontal="left"/>
    </xf>
    <xf numFmtId="9" fontId="8" fillId="10" borderId="16" xfId="2" applyFont="1" applyFill="1" applyBorder="1" applyAlignment="1">
      <alignment horizontal="left"/>
    </xf>
    <xf numFmtId="0" fontId="8" fillId="0" borderId="8" xfId="0" applyFont="1" applyBorder="1" applyAlignment="1">
      <alignment horizontal="left"/>
    </xf>
    <xf numFmtId="0" fontId="1" fillId="0" borderId="0" xfId="1" applyAlignment="1">
      <alignment horizontal="left"/>
    </xf>
    <xf numFmtId="0" fontId="8" fillId="0" borderId="3" xfId="0" applyFont="1" applyBorder="1" applyAlignment="1">
      <alignment horizontal="left"/>
    </xf>
    <xf numFmtId="0" fontId="8" fillId="0" borderId="6" xfId="0" applyFont="1" applyBorder="1" applyAlignment="1">
      <alignment horizontal="left"/>
    </xf>
    <xf numFmtId="0" fontId="8" fillId="0" borderId="21" xfId="0" applyFont="1" applyBorder="1" applyAlignment="1">
      <alignment horizontal="left"/>
    </xf>
    <xf numFmtId="0" fontId="8" fillId="0" borderId="7" xfId="0" applyFont="1" applyBorder="1" applyAlignment="1">
      <alignment horizontal="left"/>
    </xf>
    <xf numFmtId="0" fontId="8"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4" fillId="13" borderId="50" xfId="0" applyFont="1" applyFill="1" applyBorder="1" applyAlignment="1">
      <alignment horizontal="center" vertical="center"/>
    </xf>
    <xf numFmtId="0" fontId="14" fillId="14" borderId="50" xfId="0" applyFont="1" applyFill="1" applyBorder="1" applyAlignment="1">
      <alignment horizontal="center" vertical="center"/>
    </xf>
    <xf numFmtId="0" fontId="14" fillId="13" borderId="48" xfId="0" applyFont="1" applyFill="1" applyBorder="1" applyAlignment="1">
      <alignment horizontal="center" vertical="center"/>
    </xf>
    <xf numFmtId="0" fontId="14" fillId="14" borderId="48" xfId="0" applyFont="1" applyFill="1" applyBorder="1" applyAlignment="1">
      <alignment horizontal="center" vertical="center"/>
    </xf>
    <xf numFmtId="0" fontId="14" fillId="13" borderId="55" xfId="0" applyFont="1" applyFill="1" applyBorder="1" applyAlignment="1">
      <alignment horizontal="center" vertical="center"/>
    </xf>
    <xf numFmtId="0" fontId="14" fillId="14" borderId="55" xfId="0" applyFont="1" applyFill="1" applyBorder="1" applyAlignment="1">
      <alignment horizontal="center" vertical="center"/>
    </xf>
    <xf numFmtId="0" fontId="14" fillId="12" borderId="50" xfId="0" applyFont="1" applyFill="1" applyBorder="1" applyAlignment="1">
      <alignment horizontal="center" vertical="center"/>
    </xf>
    <xf numFmtId="0" fontId="14" fillId="12" borderId="48" xfId="0" applyFont="1" applyFill="1" applyBorder="1" applyAlignment="1">
      <alignment horizontal="center" vertical="center"/>
    </xf>
    <xf numFmtId="0" fontId="14" fillId="12" borderId="55" xfId="0" applyFont="1" applyFill="1" applyBorder="1" applyAlignment="1">
      <alignment horizontal="center" vertical="center"/>
    </xf>
    <xf numFmtId="0" fontId="14" fillId="15" borderId="50" xfId="0" applyFont="1" applyFill="1" applyBorder="1" applyAlignment="1">
      <alignment horizontal="center" vertical="center"/>
    </xf>
    <xf numFmtId="0" fontId="14" fillId="15" borderId="48" xfId="0" applyFont="1" applyFill="1" applyBorder="1" applyAlignment="1">
      <alignment horizontal="center" vertical="center"/>
    </xf>
    <xf numFmtId="0" fontId="14" fillId="15" borderId="55" xfId="0" applyFont="1" applyFill="1" applyBorder="1" applyAlignment="1">
      <alignment horizontal="center" vertical="center"/>
    </xf>
    <xf numFmtId="0" fontId="14" fillId="11" borderId="50" xfId="0" applyFont="1" applyFill="1" applyBorder="1" applyAlignment="1">
      <alignment horizontal="center" vertical="center"/>
    </xf>
    <xf numFmtId="0" fontId="14" fillId="11" borderId="48" xfId="0" applyFont="1" applyFill="1" applyBorder="1" applyAlignment="1">
      <alignment horizontal="center" vertical="center"/>
    </xf>
    <xf numFmtId="0" fontId="14" fillId="11" borderId="55" xfId="0" applyFont="1" applyFill="1" applyBorder="1" applyAlignment="1">
      <alignment horizontal="center" vertical="center"/>
    </xf>
    <xf numFmtId="0" fontId="14" fillId="8" borderId="50" xfId="0" applyFont="1" applyFill="1" applyBorder="1" applyAlignment="1">
      <alignment horizontal="center" vertical="center"/>
    </xf>
    <xf numFmtId="0" fontId="14" fillId="8" borderId="48" xfId="0" applyFont="1" applyFill="1" applyBorder="1" applyAlignment="1">
      <alignment horizontal="center" vertical="center"/>
    </xf>
    <xf numFmtId="0" fontId="14" fillId="8" borderId="55" xfId="0" applyFont="1" applyFill="1" applyBorder="1" applyAlignment="1">
      <alignment horizontal="center" vertical="center"/>
    </xf>
    <xf numFmtId="0" fontId="14" fillId="16" borderId="48" xfId="0" applyFont="1" applyFill="1" applyBorder="1" applyAlignment="1">
      <alignment horizontal="center" vertical="center"/>
    </xf>
    <xf numFmtId="0" fontId="14" fillId="16" borderId="55" xfId="0" applyFont="1" applyFill="1" applyBorder="1" applyAlignment="1">
      <alignment horizontal="center" vertical="center"/>
    </xf>
    <xf numFmtId="0" fontId="14" fillId="16" borderId="50" xfId="0" applyFont="1" applyFill="1" applyBorder="1" applyAlignment="1">
      <alignment horizontal="center" vertical="center"/>
    </xf>
    <xf numFmtId="0" fontId="14" fillId="17" borderId="50" xfId="0" applyFont="1" applyFill="1" applyBorder="1" applyAlignment="1">
      <alignment horizontal="center" vertical="center"/>
    </xf>
    <xf numFmtId="0" fontId="14" fillId="17" borderId="48" xfId="0" applyFont="1" applyFill="1" applyBorder="1" applyAlignment="1">
      <alignment horizontal="center" vertical="center"/>
    </xf>
    <xf numFmtId="0" fontId="14" fillId="19" borderId="50" xfId="0" applyFont="1" applyFill="1" applyBorder="1" applyAlignment="1">
      <alignment horizontal="center" vertical="center"/>
    </xf>
    <xf numFmtId="0" fontId="14" fillId="19" borderId="48" xfId="0" applyFont="1" applyFill="1" applyBorder="1"/>
    <xf numFmtId="0" fontId="14" fillId="18" borderId="50" xfId="0" applyFont="1" applyFill="1" applyBorder="1" applyAlignment="1">
      <alignment horizontal="center" vertical="center"/>
    </xf>
    <xf numFmtId="0" fontId="14"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5" fillId="11" borderId="47" xfId="0" applyFont="1" applyFill="1" applyBorder="1"/>
    <xf numFmtId="0" fontId="15" fillId="0" borderId="0" xfId="0" applyFont="1"/>
    <xf numFmtId="0" fontId="15" fillId="11" borderId="0" xfId="0" applyFont="1" applyFill="1"/>
    <xf numFmtId="0" fontId="15" fillId="11" borderId="1" xfId="0" applyFont="1" applyFill="1" applyBorder="1"/>
    <xf numFmtId="0" fontId="15" fillId="11" borderId="1" xfId="0" applyFont="1" applyFill="1" applyBorder="1" applyAlignment="1">
      <alignment horizontal="left" vertical="center" wrapText="1"/>
    </xf>
    <xf numFmtId="2" fontId="15" fillId="0" borderId="0" xfId="0" applyNumberFormat="1" applyFont="1"/>
    <xf numFmtId="0" fontId="16" fillId="0" borderId="0" xfId="0" applyFont="1"/>
    <xf numFmtId="0" fontId="15" fillId="0" borderId="37" xfId="0" applyFont="1" applyBorder="1"/>
    <xf numFmtId="0" fontId="15" fillId="3" borderId="37" xfId="0" applyFont="1" applyFill="1" applyBorder="1"/>
    <xf numFmtId="0" fontId="0" fillId="3" borderId="0" xfId="0" applyFill="1"/>
    <xf numFmtId="0" fontId="15" fillId="3" borderId="0" xfId="0" applyFont="1" applyFill="1"/>
    <xf numFmtId="169" fontId="15" fillId="0" borderId="0" xfId="0" applyNumberFormat="1" applyFont="1"/>
    <xf numFmtId="169" fontId="0" fillId="3" borderId="0" xfId="0" applyNumberFormat="1" applyFill="1"/>
    <xf numFmtId="165" fontId="0" fillId="0" borderId="37" xfId="0" applyNumberFormat="1" applyBorder="1"/>
    <xf numFmtId="0" fontId="15" fillId="11" borderId="46" xfId="0" applyFont="1" applyFill="1" applyBorder="1"/>
    <xf numFmtId="0" fontId="0" fillId="0" borderId="45" xfId="0" applyBorder="1"/>
    <xf numFmtId="0" fontId="0" fillId="0" borderId="57" xfId="0" applyBorder="1"/>
    <xf numFmtId="2" fontId="0" fillId="0" borderId="0" xfId="0" applyNumberFormat="1"/>
    <xf numFmtId="0" fontId="15" fillId="13" borderId="37" xfId="0" applyFont="1" applyFill="1" applyBorder="1"/>
    <xf numFmtId="0" fontId="15" fillId="11" borderId="30" xfId="0" applyFont="1" applyFill="1" applyBorder="1"/>
    <xf numFmtId="2" fontId="15" fillId="11" borderId="30" xfId="0" applyNumberFormat="1" applyFont="1" applyFill="1" applyBorder="1"/>
    <xf numFmtId="165" fontId="15" fillId="11" borderId="30" xfId="0" applyNumberFormat="1" applyFont="1" applyFill="1" applyBorder="1"/>
    <xf numFmtId="1" fontId="0" fillId="0" borderId="0" xfId="0" applyNumberFormat="1"/>
    <xf numFmtId="167" fontId="0" fillId="11" borderId="0" xfId="0" applyNumberFormat="1" applyFill="1" applyAlignment="1">
      <alignment wrapText="1"/>
    </xf>
    <xf numFmtId="170" fontId="0" fillId="0" borderId="0" xfId="0" applyNumberFormat="1"/>
    <xf numFmtId="0" fontId="15" fillId="20" borderId="30" xfId="0" applyFont="1" applyFill="1" applyBorder="1"/>
    <xf numFmtId="0" fontId="15" fillId="20" borderId="0" xfId="0" applyFont="1" applyFill="1"/>
    <xf numFmtId="0" fontId="4" fillId="0" borderId="37" xfId="0" applyFont="1" applyBorder="1"/>
    <xf numFmtId="0" fontId="10" fillId="6" borderId="0" xfId="0" applyFont="1" applyFill="1" applyAlignment="1">
      <alignment horizontal="left" vertical="center"/>
    </xf>
    <xf numFmtId="0" fontId="8" fillId="8" borderId="15" xfId="0" applyFont="1" applyFill="1" applyBorder="1" applyAlignment="1">
      <alignment horizontal="left"/>
    </xf>
    <xf numFmtId="0" fontId="8" fillId="8" borderId="25" xfId="0" applyFont="1" applyFill="1" applyBorder="1" applyAlignment="1">
      <alignment horizontal="left"/>
    </xf>
    <xf numFmtId="0" fontId="8" fillId="8" borderId="16" xfId="0" applyFont="1" applyFill="1" applyBorder="1" applyAlignment="1">
      <alignment horizontal="left"/>
    </xf>
    <xf numFmtId="0" fontId="8" fillId="0" borderId="42" xfId="0" applyFont="1" applyBorder="1" applyAlignment="1">
      <alignment horizontal="left" vertical="center"/>
    </xf>
    <xf numFmtId="0" fontId="8" fillId="0" borderId="24" xfId="0" applyFont="1" applyBorder="1" applyAlignment="1">
      <alignment horizontal="left" vertical="center"/>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24"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169" fontId="0" fillId="0" borderId="57" xfId="0" applyNumberFormat="1" applyBorder="1"/>
    <xf numFmtId="11" fontId="0" fillId="0" borderId="57" xfId="0" applyNumberFormat="1" applyBorder="1"/>
  </cellXfs>
  <cellStyles count="3">
    <cellStyle name="Hyperlink" xfId="1" builtinId="8"/>
    <cellStyle name="Normal" xfId="0" builtinId="0"/>
    <cellStyle name="Percent" xfId="2" builtinId="5"/>
  </cellStyles>
  <dxfs count="66">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l-GR"/>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902411728"/>
        <c:axId val="902412272"/>
      </c:scatterChart>
      <c:valAx>
        <c:axId val="902411728"/>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2272"/>
        <c:crosses val="autoZero"/>
        <c:crossBetween val="midCat"/>
        <c:majorUnit val="0.30000000000000004"/>
        <c:minorUnit val="0.30000000000000004"/>
      </c:valAx>
      <c:valAx>
        <c:axId val="90241227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1728"/>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800218768"/>
        <c:axId val="800232368"/>
      </c:scatterChart>
      <c:valAx>
        <c:axId val="8002187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32368"/>
        <c:crosses val="autoZero"/>
        <c:crossBetween val="midCat"/>
      </c:valAx>
      <c:valAx>
        <c:axId val="800232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1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800222032"/>
        <c:axId val="800222576"/>
      </c:scatterChart>
      <c:valAx>
        <c:axId val="8002220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576"/>
        <c:crosses val="autoZero"/>
        <c:crossBetween val="midCat"/>
      </c:valAx>
      <c:valAx>
        <c:axId val="800222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800223664"/>
        <c:axId val="800224208"/>
      </c:scatterChart>
      <c:valAx>
        <c:axId val="800223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4208"/>
        <c:crosses val="autoZero"/>
        <c:crossBetween val="midCat"/>
      </c:valAx>
      <c:valAx>
        <c:axId val="800224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Derivatives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2.0'!$A$172:$A$181</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2.0'!$B$172:$B$181</c:f>
              <c:numCache>
                <c:formatCode>0.00000</c:formatCode>
                <c:ptCount val="10"/>
                <c:pt idx="0">
                  <c:v>1.7811871342984904</c:v>
                </c:pt>
                <c:pt idx="1">
                  <c:v>1.7868999999999999</c:v>
                </c:pt>
                <c:pt idx="2">
                  <c:v>1.8637999999999999</c:v>
                </c:pt>
                <c:pt idx="3">
                  <c:v>2.0529999999999999</c:v>
                </c:pt>
                <c:pt idx="4">
                  <c:v>2.4897</c:v>
                </c:pt>
                <c:pt idx="5">
                  <c:v>28.213824634343929</c:v>
                </c:pt>
                <c:pt idx="6">
                  <c:v>3.5777000000000001</c:v>
                </c:pt>
                <c:pt idx="7">
                  <c:v>2.3094000000000001</c:v>
                </c:pt>
                <c:pt idx="8">
                  <c:v>1.4141999999999999</c:v>
                </c:pt>
                <c:pt idx="9">
                  <c:v>0.8165</c:v>
                </c:pt>
              </c:numCache>
            </c:numRef>
          </c:yVal>
          <c:smooth val="0"/>
          <c:extLst>
            <c:ext xmlns:c16="http://schemas.microsoft.com/office/drawing/2014/chart" uri="{C3380CC4-5D6E-409C-BE32-E72D297353CC}">
              <c16:uniqueId val="{00000000-2A6B-4ED2-8503-93469886DBC3}"/>
            </c:ext>
          </c:extLst>
        </c:ser>
        <c:dLbls>
          <c:showLegendKey val="0"/>
          <c:showVal val="0"/>
          <c:showCatName val="0"/>
          <c:showSerName val="0"/>
          <c:showPercent val="0"/>
          <c:showBubbleSize val="0"/>
        </c:dLbls>
        <c:axId val="708516256"/>
        <c:axId val="708506464"/>
      </c:scatterChart>
      <c:valAx>
        <c:axId val="708516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Mach numb</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6464"/>
        <c:crosses val="autoZero"/>
        <c:crossBetween val="midCat"/>
      </c:valAx>
      <c:valAx>
        <c:axId val="708506464"/>
        <c:scaling>
          <c:orientation val="minMax"/>
          <c:max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dCL/dAoA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6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Cm,q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2.0'!$A$228:$A$237</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2.0'!$B$228:$B$237</c:f>
              <c:numCache>
                <c:formatCode>0.000000</c:formatCode>
                <c:ptCount val="10"/>
                <c:pt idx="0">
                  <c:v>-3.957435565420617E-3</c:v>
                </c:pt>
                <c:pt idx="1">
                  <c:v>-1.0587217785124063E-3</c:v>
                </c:pt>
                <c:pt idx="2">
                  <c:v>-2.3663117870606997E-4</c:v>
                </c:pt>
                <c:pt idx="3">
                  <c:v>-1.1523587839424864E-4</c:v>
                </c:pt>
                <c:pt idx="4">
                  <c:v>-7.9021921140809409E-5</c:v>
                </c:pt>
                <c:pt idx="5">
                  <c:v>-5.1877556177959536E-4</c:v>
                </c:pt>
                <c:pt idx="6">
                  <c:v>-3.1795765043958875E-4</c:v>
                </c:pt>
                <c:pt idx="7">
                  <c:v>-6.841359360843149E-5</c:v>
                </c:pt>
                <c:pt idx="8">
                  <c:v>-1.795482812258461E-5</c:v>
                </c:pt>
                <c:pt idx="9">
                  <c:v>-4.5829625651869788E-6</c:v>
                </c:pt>
              </c:numCache>
            </c:numRef>
          </c:yVal>
          <c:smooth val="0"/>
          <c:extLst>
            <c:ext xmlns:c16="http://schemas.microsoft.com/office/drawing/2014/chart" uri="{C3380CC4-5D6E-409C-BE32-E72D297353CC}">
              <c16:uniqueId val="{00000000-8872-416D-9CD1-45AD3E75A357}"/>
            </c:ext>
          </c:extLst>
        </c:ser>
        <c:dLbls>
          <c:showLegendKey val="0"/>
          <c:showVal val="0"/>
          <c:showCatName val="0"/>
          <c:showSerName val="0"/>
          <c:showPercent val="0"/>
          <c:showBubbleSize val="0"/>
        </c:dLbls>
        <c:axId val="917395456"/>
        <c:axId val="917387840"/>
      </c:scatterChart>
      <c:valAx>
        <c:axId val="91739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87840"/>
        <c:crosses val="autoZero"/>
        <c:crossBetween val="midCat"/>
      </c:valAx>
      <c:valAx>
        <c:axId val="917387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17395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Cm,AoA derivative due Mach</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'FinAeroDesign 2.0'!$A$240:$A$249</c:f>
              <c:numCache>
                <c:formatCode>General</c:formatCode>
                <c:ptCount val="10"/>
                <c:pt idx="0">
                  <c:v>0.06</c:v>
                </c:pt>
                <c:pt idx="1">
                  <c:v>0.1</c:v>
                </c:pt>
                <c:pt idx="2">
                  <c:v>0.3</c:v>
                </c:pt>
                <c:pt idx="3">
                  <c:v>0.5</c:v>
                </c:pt>
                <c:pt idx="4">
                  <c:v>0.7</c:v>
                </c:pt>
                <c:pt idx="5">
                  <c:v>1</c:v>
                </c:pt>
                <c:pt idx="6">
                  <c:v>1.5</c:v>
                </c:pt>
                <c:pt idx="7">
                  <c:v>2</c:v>
                </c:pt>
                <c:pt idx="8">
                  <c:v>3</c:v>
                </c:pt>
                <c:pt idx="9">
                  <c:v>5</c:v>
                </c:pt>
              </c:numCache>
            </c:numRef>
          </c:xVal>
          <c:yVal>
            <c:numRef>
              <c:f>'FinAeroDesign 2.0'!$B$240:$B$249</c:f>
              <c:numCache>
                <c:formatCode>0.000</c:formatCode>
                <c:ptCount val="10"/>
                <c:pt idx="0">
                  <c:v>0.42414518635482801</c:v>
                </c:pt>
                <c:pt idx="1">
                  <c:v>0.42551395211156007</c:v>
                </c:pt>
                <c:pt idx="2">
                  <c:v>0.4438239208910964</c:v>
                </c:pt>
                <c:pt idx="3">
                  <c:v>0.48887831097616802</c:v>
                </c:pt>
                <c:pt idx="4">
                  <c:v>0.59285203359655836</c:v>
                </c:pt>
                <c:pt idx="5">
                  <c:v>6.7184169910531475</c:v>
                </c:pt>
                <c:pt idx="6">
                  <c:v>0.85194189942741982</c:v>
                </c:pt>
                <c:pt idx="7">
                  <c:v>0.54992613140311863</c:v>
                </c:pt>
                <c:pt idx="8">
                  <c:v>0.33675960454009318</c:v>
                </c:pt>
                <c:pt idx="9">
                  <c:v>0.19442824833341479</c:v>
                </c:pt>
              </c:numCache>
            </c:numRef>
          </c:yVal>
          <c:smooth val="0"/>
          <c:extLst>
            <c:ext xmlns:c16="http://schemas.microsoft.com/office/drawing/2014/chart" uri="{C3380CC4-5D6E-409C-BE32-E72D297353CC}">
              <c16:uniqueId val="{00000000-A38E-4C77-A1C3-333835E354E1}"/>
            </c:ext>
          </c:extLst>
        </c:ser>
        <c:dLbls>
          <c:showLegendKey val="0"/>
          <c:showVal val="0"/>
          <c:showCatName val="0"/>
          <c:showSerName val="0"/>
          <c:showPercent val="0"/>
          <c:showBubbleSize val="0"/>
        </c:dLbls>
        <c:axId val="1035710336"/>
        <c:axId val="1035706528"/>
      </c:scatterChart>
      <c:valAx>
        <c:axId val="103571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06528"/>
        <c:crosses val="autoZero"/>
        <c:crossBetween val="midCat"/>
      </c:valAx>
      <c:valAx>
        <c:axId val="10357065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3571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800224752"/>
        <c:axId val="800225296"/>
      </c:scatterChart>
      <c:valAx>
        <c:axId val="80022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5296"/>
        <c:crosses val="autoZero"/>
        <c:crossBetween val="midCat"/>
      </c:valAx>
      <c:valAx>
        <c:axId val="80022529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24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454147776"/>
        <c:axId val="454142336"/>
      </c:scatterChart>
      <c:valAx>
        <c:axId val="45414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2336"/>
        <c:crosses val="autoZero"/>
        <c:crossBetween val="midCat"/>
      </c:valAx>
      <c:valAx>
        <c:axId val="4541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47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668433120"/>
        <c:axId val="800231824"/>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708509728"/>
        <c:axId val="708509184"/>
      </c:lineChart>
      <c:catAx>
        <c:axId val="6684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31824"/>
        <c:crosses val="autoZero"/>
        <c:auto val="1"/>
        <c:lblAlgn val="ctr"/>
        <c:lblOffset val="100"/>
        <c:noMultiLvlLbl val="0"/>
      </c:catAx>
      <c:valAx>
        <c:axId val="8002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33120"/>
        <c:crosses val="autoZero"/>
        <c:crossBetween val="between"/>
      </c:valAx>
      <c:valAx>
        <c:axId val="708509184"/>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9728"/>
        <c:crosses val="max"/>
        <c:crossBetween val="between"/>
      </c:valAx>
      <c:catAx>
        <c:axId val="708509728"/>
        <c:scaling>
          <c:orientation val="minMax"/>
        </c:scaling>
        <c:delete val="1"/>
        <c:axPos val="b"/>
        <c:numFmt formatCode="General" sourceLinked="1"/>
        <c:majorTickMark val="out"/>
        <c:minorTickMark val="none"/>
        <c:tickLblPos val="nextTo"/>
        <c:crossAx val="708509184"/>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708510272"/>
        <c:axId val="708514624"/>
      </c:scatterChart>
      <c:valAx>
        <c:axId val="708510272"/>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4624"/>
        <c:crosses val="autoZero"/>
        <c:crossBetween val="midCat"/>
      </c:valAx>
      <c:valAx>
        <c:axId val="70851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902413360"/>
        <c:axId val="902413904"/>
      </c:scatterChart>
      <c:valAx>
        <c:axId val="902413360"/>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904"/>
        <c:crossesAt val="0"/>
        <c:crossBetween val="midCat"/>
      </c:valAx>
      <c:valAx>
        <c:axId val="902413904"/>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902413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708510816"/>
        <c:axId val="708505376"/>
      </c:scatterChart>
      <c:valAx>
        <c:axId val="708510816"/>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05376"/>
        <c:crosses val="autoZero"/>
        <c:crossBetween val="midCat"/>
      </c:valAx>
      <c:valAx>
        <c:axId val="708505376"/>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8510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708508640"/>
        <c:axId val="708503744"/>
      </c:barChart>
      <c:catAx>
        <c:axId val="7085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3744"/>
        <c:crosses val="autoZero"/>
        <c:auto val="1"/>
        <c:lblAlgn val="ctr"/>
        <c:lblOffset val="100"/>
        <c:noMultiLvlLbl val="0"/>
      </c:catAx>
      <c:valAx>
        <c:axId val="7085037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085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902414448"/>
        <c:axId val="902414992"/>
      </c:scatterChart>
      <c:valAx>
        <c:axId val="90241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992"/>
        <c:crosses val="autoZero"/>
        <c:crossBetween val="midCat"/>
      </c:valAx>
      <c:valAx>
        <c:axId val="90241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414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853754272"/>
        <c:axId val="853754816"/>
      </c:scatterChart>
      <c:valAx>
        <c:axId val="8537542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816"/>
        <c:crosses val="autoZero"/>
        <c:crossBetween val="midCat"/>
      </c:valAx>
      <c:valAx>
        <c:axId val="853754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4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853743392"/>
        <c:axId val="853742304"/>
      </c:scatterChart>
      <c:valAx>
        <c:axId val="853743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2304"/>
        <c:crosses val="autoZero"/>
        <c:crossBetween val="midCat"/>
      </c:valAx>
      <c:valAx>
        <c:axId val="85374230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853745024"/>
        <c:axId val="853755904"/>
      </c:scatterChart>
      <c:valAx>
        <c:axId val="8537450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5904"/>
        <c:crosses val="autoZero"/>
        <c:crossBetween val="midCat"/>
      </c:valAx>
      <c:valAx>
        <c:axId val="853755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5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853756992"/>
        <c:axId val="853751008"/>
        <c:extLs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c:ext xmlns:c16="http://schemas.microsoft.com/office/drawing/2014/chart" uri="{C3380CC4-5D6E-409C-BE32-E72D297353CC}">
                    <c16:uniqueId val="{00000001-3EFD-4F75-B961-07E1A551384F}"/>
                  </c:ext>
                </c:extLst>
              </c15:ser>
            </c15:filteredScatterSeries>
          </c:ext>
        </c:extLst>
      </c:scatterChart>
      <c:valAx>
        <c:axId val="853756992"/>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1008"/>
        <c:crosses val="autoZero"/>
        <c:crossBetween val="midCat"/>
      </c:valAx>
      <c:valAx>
        <c:axId val="853751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56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853744480"/>
        <c:axId val="853749376"/>
      </c:scatterChart>
      <c:valAx>
        <c:axId val="85374448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9376"/>
        <c:crosses val="autoZero"/>
        <c:crossBetween val="midCat"/>
      </c:valAx>
      <c:valAx>
        <c:axId val="853749376"/>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4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853746112"/>
        <c:axId val="800227472"/>
      </c:scatterChart>
      <c:valAx>
        <c:axId val="85374611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00227472"/>
        <c:crosses val="autoZero"/>
        <c:crossBetween val="midCat"/>
      </c:valAx>
      <c:valAx>
        <c:axId val="800227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5374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1">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7" Type="http://schemas.openxmlformats.org/officeDocument/2006/relationships/image" Target="../media/image10.png"/><Relationship Id="rId2" Type="http://schemas.openxmlformats.org/officeDocument/2006/relationships/image" Target="../media/image6.png"/><Relationship Id="rId1" Type="http://schemas.openxmlformats.org/officeDocument/2006/relationships/chart" Target="../charts/chart20.xml"/><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a16="http://schemas.microsoft.com/office/drawing/2014/main" id="{8696CF88-4D17-58E0-4547-0F4FEA49BBCA}"/>
            </a:ext>
            <a:ext uri="{147F2762-F138-4A5C-976F-8EAC2B608ADB}">
              <a16:predDERef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a16="http://schemas.microsoft.com/office/drawing/2014/main" id="{10EB7F2F-3037-0F02-65F4-9470FC24037D}"/>
            </a:ext>
            <a:ext uri="{147F2762-F138-4A5C-976F-8EAC2B608ADB}">
              <a16:predDERef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a16="http://schemas.microsoft.com/office/drawing/2014/main" id="{1E1B4768-DDEF-37F2-E2F6-DF6922649F41}"/>
            </a:ext>
            <a:ext uri="{147F2762-F138-4A5C-976F-8EAC2B608ADB}">
              <a16:predDERef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a16="http://schemas.microsoft.com/office/drawing/2014/main" id="{E128D49A-3629-4BBF-9581-DB9D69B8A541}"/>
            </a:ext>
            <a:ext uri="{147F2762-F138-4A5C-976F-8EAC2B608ADB}">
              <a16:predDERef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a16="http://schemas.microsoft.com/office/drawing/2014/main" id="{4705D049-9711-4AD6-8388-EAF961A55C4C}"/>
            </a:ext>
            <a:ext uri="{147F2762-F138-4A5C-976F-8EAC2B608ADB}">
              <a16:predDERef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a16="http://schemas.microsoft.com/office/drawing/2014/main" id="{64CC32F9-70E7-407E-A2B4-7366728088AD}"/>
            </a:ext>
            <a:ext uri="{147F2762-F138-4A5C-976F-8EAC2B608ADB}">
              <a16:predDERef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a16="http://schemas.microsoft.com/office/drawing/2014/main" id="{250CC376-444D-4A69-B396-08361C76F808}"/>
            </a:ext>
            <a:ext uri="{147F2762-F138-4A5C-976F-8EAC2B608ADB}">
              <a16:predDERef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a16="http://schemas.microsoft.com/office/drawing/2014/main" id="{C15CA873-26E1-4AC6-B585-4EB97F3C73DC}"/>
            </a:ext>
            <a:ext uri="{147F2762-F138-4A5C-976F-8EAC2B608ADB}">
              <a16:predDERef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a16="http://schemas.microsoft.com/office/drawing/2014/main" id="{9A60D0BB-D2DB-4D29-AC4E-706AD0B20703}"/>
            </a:ext>
            <a:ext uri="{147F2762-F138-4A5C-976F-8EAC2B608ADB}">
              <a16:predDERef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a16="http://schemas.microsoft.com/office/drawing/2014/main" id="{E18AE237-AB9B-443B-9AC6-0A486D849990}"/>
            </a:ext>
            <a:ext uri="{147F2762-F138-4A5C-976F-8EAC2B608ADB}">
              <a16:predDERef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a16="http://schemas.microsoft.com/office/drawing/2014/main" id="{D877167B-41EB-4438-B309-3687EC1249E9}"/>
            </a:ext>
            <a:ext uri="{6ECC49D1-AA05-4338-93AA-15A1B29DFB0A}">
              <asl:scriptLink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134470</xdr:colOff>
      <xdr:row>170</xdr:row>
      <xdr:rowOff>14941</xdr:rowOff>
    </xdr:from>
    <xdr:to>
      <xdr:col>10</xdr:col>
      <xdr:colOff>709705</xdr:colOff>
      <xdr:row>181</xdr:row>
      <xdr:rowOff>104588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227</xdr:row>
      <xdr:rowOff>33617</xdr:rowOff>
    </xdr:from>
    <xdr:to>
      <xdr:col>9</xdr:col>
      <xdr:colOff>907676</xdr:colOff>
      <xdr:row>237</xdr:row>
      <xdr:rowOff>100854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459441</xdr:colOff>
      <xdr:row>239</xdr:row>
      <xdr:rowOff>56030</xdr:rowOff>
    </xdr:from>
    <xdr:to>
      <xdr:col>9</xdr:col>
      <xdr:colOff>907676</xdr:colOff>
      <xdr:row>249</xdr:row>
      <xdr:rowOff>123267</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7471</xdr:colOff>
      <xdr:row>3</xdr:row>
      <xdr:rowOff>4390</xdr:rowOff>
    </xdr:from>
    <xdr:to>
      <xdr:col>15</xdr:col>
      <xdr:colOff>425824</xdr:colOff>
      <xdr:row>19</xdr:row>
      <xdr:rowOff>161411</xdr:rowOff>
    </xdr:to>
    <xdr:pic>
      <xdr:nvPicPr>
        <xdr:cNvPr id="5" name="Picture 4">
          <a:extLst>
            <a:ext uri="{FF2B5EF4-FFF2-40B4-BE49-F238E27FC236}">
              <a16:creationId xmlns:a16="http://schemas.microsoft.com/office/drawing/2014/main" id="{FDD733D0-702B-9D6D-B7A4-AE79237D48AA}"/>
            </a:ext>
          </a:extLst>
        </xdr:cNvPr>
        <xdr:cNvPicPr>
          <a:picLocks noChangeAspect="1"/>
        </xdr:cNvPicPr>
      </xdr:nvPicPr>
      <xdr:blipFill>
        <a:blip xmlns:r="http://schemas.openxmlformats.org/officeDocument/2006/relationships" r:embed="rId1"/>
        <a:stretch>
          <a:fillRect/>
        </a:stretch>
      </xdr:blipFill>
      <xdr:spPr>
        <a:xfrm>
          <a:off x="9891059" y="377919"/>
          <a:ext cx="2883647" cy="3145256"/>
        </a:xfrm>
        <a:prstGeom prst="rect">
          <a:avLst/>
        </a:prstGeom>
      </xdr:spPr>
    </xdr:pic>
    <xdr:clientData/>
  </xdr:twoCellAnchor>
  <xdr:oneCellAnchor>
    <xdr:from>
      <xdr:col>12</xdr:col>
      <xdr:colOff>95623</xdr:colOff>
      <xdr:row>26</xdr:row>
      <xdr:rowOff>5978</xdr:rowOff>
    </xdr:from>
    <xdr:ext cx="801886" cy="18280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2D898092-0340-1DEC-094C-4073F2FA1F95}"/>
                </a:ext>
              </a:extLst>
            </xdr:cNvPr>
            <xdr:cNvSpPr txBox="1"/>
          </xdr:nvSpPr>
          <xdr:spPr>
            <a:xfrm>
              <a:off x="10151035" y="4861860"/>
              <a:ext cx="801886"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acc>
                      <m:accPr>
                        <m:chr m:val="̅"/>
                        <m:ctrlPr>
                          <a:rPr lang="es-MX" sz="1100" b="0" i="1">
                            <a:latin typeface="Cambria Math" panose="02040503050406030204" pitchFamily="18" charset="0"/>
                          </a:rPr>
                        </m:ctrlPr>
                      </m:accPr>
                      <m:e>
                        <m:r>
                          <a:rPr lang="es-MX" sz="1100" b="0" i="1">
                            <a:latin typeface="Cambria Math" panose="02040503050406030204" pitchFamily="18" charset="0"/>
                          </a:rPr>
                          <m:t>𝑞</m:t>
                        </m:r>
                      </m:e>
                    </m:acc>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𝑟𝑒𝑓</m:t>
                        </m:r>
                      </m:sub>
                    </m:sSub>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𝐹</m:t>
                        </m:r>
                      </m:sub>
                    </m:sSub>
                  </m:oMath>
                </m:oMathPara>
              </a14:m>
              <a:endParaRPr lang="en-US" sz="1100"/>
            </a:p>
          </xdr:txBody>
        </xdr:sp>
      </mc:Choice>
      <mc:Fallback>
        <xdr:sp macro="" textlink="">
          <xdr:nvSpPr>
            <xdr:cNvPr id="2" name="TextBox 1">
              <a:extLst>
                <a:ext uri="{FF2B5EF4-FFF2-40B4-BE49-F238E27FC236}">
                  <a16:creationId xmlns:a16="http://schemas.microsoft.com/office/drawing/2014/main" id="{2D898092-0340-1DEC-094C-4073F2FA1F95}"/>
                </a:ext>
              </a:extLst>
            </xdr:cNvPr>
            <xdr:cNvSpPr txBox="1"/>
          </xdr:nvSpPr>
          <xdr:spPr>
            <a:xfrm>
              <a:off x="10151035" y="4861860"/>
              <a:ext cx="801886"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𝐹=𝑞 ̅𝐴_𝑟𝑒𝑓 𝐶_𝐹</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a16="http://schemas.microsoft.com/office/drawing/2014/main" id="{4F426E6A-640A-0D37-FCC2-62FBA9CA9E0F}"/>
            </a:ext>
            <a:ext uri="{147F2762-F138-4A5C-976F-8EAC2B608ADB}">
              <a16:predDERef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imedean2345" refreshedDate="45656.408385300929" createdVersion="8" refreshedVersion="8" minRefreshableVersion="3" recordCount="21" xr:uid="{00000000-000A-0000-FFFF-FFFF02000000}">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6:G81" totalsRowShown="0" headerRowDxfId="65" dataDxfId="64">
  <autoFilter ref="B76:G81" xr:uid="{00000000-0009-0000-0100-000001000000}"/>
  <tableColumns count="6">
    <tableColumn id="1" xr3:uid="{00000000-0010-0000-0000-000001000000}" name="Fin type" dataDxfId="63"/>
    <tableColumn id="2" xr3:uid="{00000000-0010-0000-0000-000002000000}" name="Sweeped" dataDxfId="62">
      <calculatedColumnFormula>I64</calculatedColumnFormula>
    </tableColumn>
    <tableColumn id="3" xr3:uid="{00000000-0010-0000-0000-000003000000}" name="Tapered 1/4" dataDxfId="61">
      <calculatedColumnFormula>K64</calculatedColumnFormula>
    </tableColumn>
    <tableColumn id="4" xr3:uid="{00000000-0010-0000-0000-000004000000}" name="Tapered sweeped" dataDxfId="60"/>
    <tableColumn id="5" xr3:uid="{00000000-0010-0000-0000-000005000000}" name="Column4" dataDxfId="59"/>
    <tableColumn id="6" xr3:uid="{00000000-0010-0000-0000-000006000000}" name="Column5"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J44:AF66" totalsRowCount="1" headerRowDxfId="57" dataDxfId="56">
  <autoFilter ref="J44:AF65" xr:uid="{00000000-0009-0000-0100-000002000000}"/>
  <tableColumns count="23">
    <tableColumn id="1" xr3:uid="{00000000-0010-0000-0100-000001000000}" name="Node" dataDxfId="55" totalsRowDxfId="54"/>
    <tableColumn id="2" xr3:uid="{00000000-0010-0000-0100-000002000000}" name="Span position (m)" dataDxfId="53" totalsRowDxfId="52">
      <calculatedColumnFormula>K44+$E$54/2/$C$61</calculatedColumnFormula>
    </tableColumn>
    <tableColumn id="10" xr3:uid="{00000000-0010-0000-0100-00000A000000}" name="Local max Reynolds" dataDxfId="51" totalsRowDxfId="50">
      <calculatedColumnFormula>($C$4*$C$12*M45)/$C$13</calculatedColumnFormula>
    </tableColumn>
    <tableColumn id="3" xr3:uid="{00000000-0010-0000-0100-000003000000}" name="Local chord (m)" dataDxfId="49" totalsRowDxfId="48">
      <calculatedColumnFormula>((($E$49-$E$50)/($E$54/2))*K45)+$E$50</calculatedColumnFormula>
    </tableColumn>
    <tableColumn id="21" xr3:uid="{00000000-0010-0000-0100-000015000000}" name="Local taper ratio" dataDxfId="47" totalsRowDxfId="46">
      <calculatedColumnFormula>M45/$E$50</calculatedColumnFormula>
    </tableColumn>
    <tableColumn id="20" xr3:uid="{00000000-0010-0000-0100-000014000000}" name="Local MAC (m)" dataDxfId="45" totalsRowDxfId="44">
      <calculatedColumnFormula>(2/3)*$E$54*((N45^2+N45+1)/(N45+1))</calculatedColumnFormula>
    </tableColumn>
    <tableColumn id="4" xr3:uid="{00000000-0010-0000-0100-000004000000}" name="Local surface (m^2)" dataDxfId="43" totalsRowDxfId="42">
      <calculatedColumnFormula>(M45+M44)/2*($K$45*2)</calculatedColumnFormula>
    </tableColumn>
    <tableColumn id="9" xr3:uid="{00000000-0010-0000-0100-000009000000}" name="Local wetted surface (m^2)" dataDxfId="41" totalsRowDxfId="40">
      <calculatedColumnFormula>E51*Table2[[#This Row],[Span position (m)]]+Table2[[#This Row],[Local chord (m)]]*K45+E51*K45</calculatedColumnFormula>
    </tableColumn>
    <tableColumn id="22" xr3:uid="{00000000-0010-0000-0100-000016000000}" name="Boundary-layer thickness (m)" dataDxfId="39" totalsRowDxfId="38">
      <calculatedColumnFormula>IF($C$11&gt;0.3,0,IF(L45&lt;500000,0.5*M45/(SQRT(M45)),0.37*M45/(L45^(1/5))))</calculatedColumnFormula>
    </tableColumn>
    <tableColumn id="14" xr3:uid="{00000000-0010-0000-0100-00000E000000}" name="Local u (m/s)" dataDxfId="37" totalsRowDxfId="36">
      <calculatedColumnFormula>$C$4</calculatedColumnFormula>
    </tableColumn>
    <tableColumn id="15" xr3:uid="{00000000-0010-0000-0100-00000F000000}" name="Local w (m/s)" dataDxfId="35" totalsRowDxfId="34">
      <calculatedColumnFormula>$C$6</calculatedColumnFormula>
    </tableColumn>
    <tableColumn id="5" xr3:uid="{00000000-0010-0000-0100-000005000000}" name="AoA fins (rad)" dataDxfId="33" totalsRowDxfId="32">
      <calculatedColumnFormula>DEGREES(ATAN(T45/S45))</calculatedColumnFormula>
    </tableColumn>
    <tableColumn id="6" xr3:uid="{00000000-0010-0000-0100-000006000000}" name="Cl" dataDxfId="31" totalsRowDxfId="30">
      <calculatedColumnFormula>IF($C$11&lt;1,($C$62*RADIANS(U45))/SQRT(1-$C$11^2),(4*RADIANS(U45))/SQRT($C$11^2-1))</calculatedColumnFormula>
    </tableColumn>
    <tableColumn id="19" xr3:uid="{00000000-0010-0000-0100-000013000000}" name="Cf" dataDxfId="29" totalsRowDxfId="28">
      <calculatedColumnFormula>IF($C$11&lt;0.3,IF((L45&gt;500000),0.074/L45^(1/5),1.328/SQRT(L45)),0)</calculatedColumnFormula>
    </tableColumn>
    <tableColumn id="7" xr3:uid="{00000000-0010-0000-0100-000007000000}" name="Cd" dataDxfId="27" totalsRowDxfId="26">
      <calculatedColumnFormula>$C$63+(0.2*($C$63+W45+(V45^2/PI()*$C$56)))</calculatedColumnFormula>
    </tableColumn>
    <tableColumn id="8" xr3:uid="{00000000-0010-0000-0100-000008000000}" name="Cm,LE" dataDxfId="25" totalsRowDxfId="24">
      <calculatedColumnFormula>IF($C$11&lt;1,(-V45/2)/SQRT(1-$C$11^2),1)</calculatedColumnFormula>
    </tableColumn>
    <tableColumn id="23" xr3:uid="{00000000-0010-0000-0100-000017000000}" name="Xcp location" dataDxfId="23" totalsRowDxfId="22">
      <calculatedColumnFormula>IF($C$11&gt;0.3, 1, 0.25*M45)</calculatedColumnFormula>
    </tableColumn>
    <tableColumn id="11" xr3:uid="{00000000-0010-0000-0100-00000B000000}" name="Lift" totalsRowFunction="custom" dataDxfId="21" totalsRowDxfId="20">
      <calculatedColumnFormula>0.5*$C$12*(S45^2)*P45*V45</calculatedColumnFormula>
      <totalsRowFormula>SUM(Table2[Lift])</totalsRowFormula>
    </tableColumn>
    <tableColumn id="12" xr3:uid="{00000000-0010-0000-0100-00000C000000}" name="Drag" totalsRowFunction="custom" dataDxfId="19" totalsRowDxfId="18">
      <calculatedColumnFormula>0.5*$C$12*(S45^2)*P45*X45</calculatedColumnFormula>
      <totalsRowFormula>SUM(Table2[Drag])</totalsRowFormula>
    </tableColumn>
    <tableColumn id="13" xr3:uid="{00000000-0010-0000-0100-00000D000000}" name="Moment (x-z)" totalsRowFunction="custom" dataDxfId="17" totalsRowDxfId="16">
      <calculatedColumnFormula>0.5*$C$12*(S45^2)*P45*O45*Y45</calculatedColumnFormula>
      <totalsRowFormula>SUM(Table2[Moment (x-z)])</totalsRowFormula>
    </tableColumn>
    <tableColumn id="16" xr3:uid="{00000000-0010-0000-0100-000010000000}" name="Lift (interfered" totalsRowFunction="custom" dataDxfId="15" totalsRowDxfId="14">
      <calculatedColumnFormula>IF(K45&gt;$E$66/2,AA45,0)</calculatedColumnFormula>
      <totalsRowFormula>SUM(Table2[Lift (interfered])</totalsRowFormula>
    </tableColumn>
    <tableColumn id="17" xr3:uid="{00000000-0010-0000-0100-000011000000}" name="Drag (interfered)" totalsRowFunction="custom" dataDxfId="13" totalsRowDxfId="12">
      <calculatedColumnFormula>IF(K45&gt;$E$66/2,Table2[[#This Row],[Drag]],0)</calculatedColumnFormula>
      <totalsRowFormula>SUM(Table2[Drag (interfered)])</totalsRowFormula>
    </tableColumn>
    <tableColumn id="18" xr3:uid="{00000000-0010-0000-0100-000012000000}" name="Moment (interfered)" totalsRowFunction="custom" dataDxfId="11" totalsRowDxfId="10">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2:L268"/>
  <sheetViews>
    <sheetView view="pageLayout" topLeftCell="A54" zoomScale="80" zoomScaleNormal="100" zoomScalePageLayoutView="80" workbookViewId="0">
      <selection activeCell="J215" sqref="J215"/>
    </sheetView>
  </sheetViews>
  <sheetFormatPr defaultColWidth="8.90625" defaultRowHeight="12.5"/>
  <cols>
    <col min="1" max="1" width="12.7265625" style="144" customWidth="1"/>
    <col min="2" max="9" width="7.26953125" style="144" customWidth="1"/>
    <col min="10" max="16384" width="8.9062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ht="13">
      <c r="A54" s="143"/>
      <c r="B54" s="146"/>
      <c r="C54" s="143"/>
      <c r="D54" s="143"/>
      <c r="E54" s="143"/>
      <c r="F54" s="143"/>
      <c r="G54" s="143"/>
      <c r="H54" s="143"/>
      <c r="I54" s="143"/>
      <c r="J54" s="143"/>
      <c r="K54" s="143"/>
      <c r="L54" s="143"/>
    </row>
    <row r="55" spans="1:12" ht="13"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ht="13">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 thickBot="1"/>
    <row r="105" spans="1:12" ht="13" thickBot="1">
      <c r="A105" s="148" t="s">
        <v>44</v>
      </c>
      <c r="B105" s="149" t="s">
        <v>45</v>
      </c>
      <c r="C105" s="150"/>
      <c r="D105" s="150"/>
      <c r="E105" s="150"/>
      <c r="F105" s="151" t="s">
        <v>46</v>
      </c>
      <c r="G105" s="130" t="s">
        <v>47</v>
      </c>
      <c r="H105" s="130"/>
      <c r="I105" s="148" t="s">
        <v>48</v>
      </c>
      <c r="J105" s="149">
        <v>1</v>
      </c>
      <c r="K105" s="152" t="s">
        <v>49</v>
      </c>
      <c r="L105" s="153">
        <v>2</v>
      </c>
    </row>
    <row r="106" spans="1:12" ht="13" thickBot="1">
      <c r="A106" s="148" t="s">
        <v>50</v>
      </c>
      <c r="B106" s="149" t="s">
        <v>51</v>
      </c>
      <c r="C106" s="150"/>
      <c r="D106" s="150"/>
      <c r="E106" s="153"/>
      <c r="F106" s="148" t="s">
        <v>52</v>
      </c>
      <c r="G106" s="149"/>
      <c r="H106" s="150"/>
      <c r="I106" s="150"/>
      <c r="J106" s="147"/>
      <c r="K106" s="147"/>
      <c r="L106" s="154"/>
    </row>
    <row r="107" spans="1:12" ht="13" thickBot="1">
      <c r="A107" s="148" t="s">
        <v>53</v>
      </c>
      <c r="B107" s="155" t="s">
        <v>54</v>
      </c>
      <c r="C107" s="150"/>
      <c r="D107" s="150"/>
      <c r="E107" s="153"/>
      <c r="F107" s="148" t="s">
        <v>55</v>
      </c>
      <c r="G107" s="149"/>
      <c r="H107" s="150"/>
      <c r="I107" s="150"/>
      <c r="J107" s="150"/>
      <c r="K107" s="150"/>
      <c r="L107" s="153"/>
    </row>
    <row r="108" spans="1:12">
      <c r="A108" s="326" t="s">
        <v>56</v>
      </c>
      <c r="B108" s="156" t="s">
        <v>57</v>
      </c>
      <c r="C108" s="130"/>
      <c r="D108" s="130"/>
      <c r="E108" s="130"/>
      <c r="F108" s="130"/>
      <c r="G108" s="130"/>
      <c r="H108" s="130"/>
      <c r="I108" s="130"/>
      <c r="J108" s="130"/>
      <c r="K108" s="130"/>
      <c r="L108" s="157"/>
    </row>
    <row r="109" spans="1:12">
      <c r="A109" s="326"/>
      <c r="B109" s="158"/>
      <c r="C109" s="143"/>
      <c r="D109" s="143"/>
      <c r="E109" s="143"/>
      <c r="F109" s="143"/>
      <c r="G109" s="143"/>
      <c r="H109" s="143"/>
      <c r="I109" s="143"/>
      <c r="J109" s="143"/>
      <c r="K109" s="143"/>
      <c r="L109" s="159"/>
    </row>
    <row r="110" spans="1:12" ht="13" thickBot="1">
      <c r="A110" s="326"/>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ht="13">
      <c r="A112" s="146" t="s">
        <v>58</v>
      </c>
      <c r="B112" s="143"/>
      <c r="C112" s="143"/>
      <c r="D112" s="143"/>
      <c r="E112" s="143"/>
      <c r="F112" s="143"/>
      <c r="G112" s="143"/>
      <c r="H112" s="143"/>
      <c r="I112" s="143"/>
      <c r="J112" s="143"/>
      <c r="K112" s="143"/>
      <c r="L112" s="143"/>
    </row>
    <row r="113" spans="1:12" ht="13">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ht="13">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ht="13">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ht="13">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 thickBot="1">
      <c r="A156" s="143"/>
      <c r="B156" s="143"/>
      <c r="C156" s="143"/>
      <c r="D156" s="143"/>
      <c r="E156" s="143"/>
      <c r="F156" s="143"/>
      <c r="G156" s="143"/>
      <c r="H156" s="143"/>
      <c r="I156" s="143"/>
      <c r="J156" s="143"/>
      <c r="K156" s="143"/>
      <c r="L156" s="143"/>
    </row>
    <row r="157" spans="1:12" ht="13" thickBot="1">
      <c r="A157" s="148" t="s">
        <v>44</v>
      </c>
      <c r="B157" s="149" t="s">
        <v>74</v>
      </c>
      <c r="C157" s="150"/>
      <c r="D157" s="150"/>
      <c r="E157" s="150"/>
      <c r="F157" s="151" t="s">
        <v>46</v>
      </c>
      <c r="G157" s="130" t="s">
        <v>47</v>
      </c>
      <c r="H157" s="130"/>
      <c r="I157" s="148" t="s">
        <v>48</v>
      </c>
      <c r="J157" s="149">
        <v>2</v>
      </c>
      <c r="K157" s="152" t="s">
        <v>49</v>
      </c>
      <c r="L157" s="153">
        <v>2</v>
      </c>
    </row>
    <row r="158" spans="1:12" ht="13" thickBot="1">
      <c r="A158" s="148" t="s">
        <v>50</v>
      </c>
      <c r="B158" s="149" t="s">
        <v>51</v>
      </c>
      <c r="C158" s="150"/>
      <c r="D158" s="150"/>
      <c r="E158" s="153"/>
      <c r="F158" s="148" t="s">
        <v>52</v>
      </c>
      <c r="G158" s="149"/>
      <c r="H158" s="150"/>
      <c r="I158" s="150"/>
      <c r="J158" s="147"/>
      <c r="K158" s="147"/>
      <c r="L158" s="154"/>
    </row>
    <row r="159" spans="1:12" ht="13" thickBot="1">
      <c r="A159" s="148" t="s">
        <v>53</v>
      </c>
      <c r="B159" s="149" t="s">
        <v>75</v>
      </c>
      <c r="C159" s="150"/>
      <c r="D159" s="150"/>
      <c r="E159" s="153"/>
      <c r="F159" s="148" t="s">
        <v>55</v>
      </c>
      <c r="G159" s="149"/>
      <c r="H159" s="150"/>
      <c r="I159" s="150"/>
      <c r="J159" s="150"/>
      <c r="K159" s="150"/>
      <c r="L159" s="153"/>
    </row>
    <row r="160" spans="1:12">
      <c r="A160" s="326" t="s">
        <v>56</v>
      </c>
      <c r="B160" s="156" t="s">
        <v>57</v>
      </c>
      <c r="C160" s="130"/>
      <c r="D160" s="130"/>
      <c r="E160" s="130"/>
      <c r="F160" s="130"/>
      <c r="G160" s="130"/>
      <c r="H160" s="130"/>
      <c r="I160" s="130"/>
      <c r="J160" s="130"/>
      <c r="K160" s="130"/>
      <c r="L160" s="157"/>
    </row>
    <row r="161" spans="1:12">
      <c r="A161" s="326"/>
      <c r="B161" s="158"/>
      <c r="C161" s="143"/>
      <c r="D161" s="143"/>
      <c r="E161" s="143"/>
      <c r="F161" s="143"/>
      <c r="G161" s="143"/>
      <c r="H161" s="143"/>
      <c r="I161" s="143"/>
      <c r="J161" s="143"/>
      <c r="K161" s="143"/>
      <c r="L161" s="159"/>
    </row>
    <row r="162" spans="1:12" ht="13" thickBot="1">
      <c r="A162" s="326"/>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 thickBot="1">
      <c r="A208" s="165"/>
      <c r="B208" s="165"/>
      <c r="C208" s="143"/>
      <c r="D208" s="143"/>
      <c r="E208" s="143"/>
      <c r="F208" s="143"/>
      <c r="G208" s="143"/>
      <c r="H208" s="143"/>
      <c r="I208" s="143"/>
      <c r="J208" s="143"/>
      <c r="K208" s="143"/>
      <c r="L208" s="143"/>
    </row>
    <row r="209" spans="1:12" ht="13" thickBot="1">
      <c r="A209" s="148" t="s">
        <v>44</v>
      </c>
      <c r="B209" s="149" t="s">
        <v>89</v>
      </c>
      <c r="C209" s="150"/>
      <c r="D209" s="150"/>
      <c r="E209" s="150"/>
      <c r="F209" s="151" t="s">
        <v>46</v>
      </c>
      <c r="G209" s="130" t="s">
        <v>47</v>
      </c>
      <c r="H209" s="130"/>
      <c r="I209" s="148" t="s">
        <v>48</v>
      </c>
      <c r="J209" s="195">
        <v>1</v>
      </c>
      <c r="K209" s="132" t="s">
        <v>49</v>
      </c>
      <c r="L209" s="131">
        <v>1</v>
      </c>
    </row>
    <row r="210" spans="1:12" ht="13" thickBot="1">
      <c r="A210" s="148" t="s">
        <v>50</v>
      </c>
      <c r="B210" s="149" t="s">
        <v>51</v>
      </c>
      <c r="C210" s="150"/>
      <c r="D210" s="150"/>
      <c r="E210" s="153"/>
      <c r="F210" s="148" t="s">
        <v>52</v>
      </c>
      <c r="G210" s="149"/>
      <c r="H210" s="150"/>
      <c r="I210" s="150"/>
      <c r="J210" s="147"/>
      <c r="K210" s="147"/>
      <c r="L210" s="154"/>
    </row>
    <row r="211" spans="1:12" ht="13" thickBot="1">
      <c r="A211" s="148" t="s">
        <v>53</v>
      </c>
      <c r="B211" s="149" t="s">
        <v>75</v>
      </c>
      <c r="C211" s="150"/>
      <c r="D211" s="150"/>
      <c r="E211" s="153"/>
      <c r="F211" s="148" t="s">
        <v>55</v>
      </c>
      <c r="G211" s="149"/>
      <c r="H211" s="150"/>
      <c r="I211" s="150"/>
      <c r="J211" s="150"/>
      <c r="K211" s="150"/>
      <c r="L211" s="153"/>
    </row>
    <row r="212" spans="1:12">
      <c r="A212" s="326" t="s">
        <v>56</v>
      </c>
      <c r="B212" s="156" t="s">
        <v>57</v>
      </c>
      <c r="C212" s="130"/>
      <c r="D212" s="130"/>
      <c r="E212" s="130"/>
      <c r="F212" s="130"/>
      <c r="G212" s="130"/>
      <c r="H212" s="130"/>
      <c r="I212" s="130"/>
      <c r="J212" s="130"/>
      <c r="K212" s="130"/>
      <c r="L212" s="157"/>
    </row>
    <row r="213" spans="1:12">
      <c r="A213" s="326"/>
      <c r="B213" s="158"/>
      <c r="C213" s="143"/>
      <c r="D213" s="143"/>
      <c r="E213" s="143"/>
      <c r="F213" s="143"/>
      <c r="G213" s="143"/>
      <c r="H213" s="143"/>
      <c r="I213" s="143"/>
      <c r="J213" s="143"/>
      <c r="K213" s="143"/>
      <c r="L213" s="159"/>
    </row>
    <row r="214" spans="1:12" ht="13" thickBot="1">
      <c r="A214" s="326"/>
      <c r="B214" s="160"/>
      <c r="C214" s="147"/>
      <c r="D214" s="147"/>
      <c r="E214" s="147"/>
      <c r="F214" s="147"/>
      <c r="G214" s="147"/>
      <c r="H214" s="147"/>
      <c r="I214" s="147"/>
      <c r="J214" s="147"/>
      <c r="K214" s="147"/>
      <c r="L214" s="154"/>
    </row>
    <row r="216" spans="1:12" ht="13">
      <c r="A216" s="166" t="s">
        <v>90</v>
      </c>
    </row>
    <row r="217" spans="1:12" ht="13">
      <c r="A217" s="166" t="s">
        <v>91</v>
      </c>
    </row>
    <row r="219" spans="1:12">
      <c r="A219" s="144" t="s">
        <v>92</v>
      </c>
    </row>
    <row r="220" spans="1:12">
      <c r="A220" s="144" t="s">
        <v>93</v>
      </c>
    </row>
    <row r="221" spans="1:12">
      <c r="A221" s="144" t="s">
        <v>94</v>
      </c>
    </row>
    <row r="223" spans="1:12">
      <c r="D223" s="144" t="s">
        <v>95</v>
      </c>
    </row>
    <row r="225" spans="1:9">
      <c r="A225" s="144" t="s">
        <v>96</v>
      </c>
    </row>
    <row r="226" spans="1:9" ht="13"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ht="13">
      <c r="E232" s="174">
        <v>0.3</v>
      </c>
      <c r="F232" s="175">
        <f t="shared" si="7"/>
        <v>0.95638015306690838</v>
      </c>
      <c r="G232" s="176">
        <f t="shared" si="8"/>
        <v>4.3619846933091622E-2</v>
      </c>
      <c r="I232" s="144" t="s">
        <v>104</v>
      </c>
    </row>
    <row r="233" spans="1:9" ht="13">
      <c r="E233" s="174">
        <v>0.32</v>
      </c>
      <c r="F233" s="175">
        <f t="shared" si="7"/>
        <v>0.95058018276636214</v>
      </c>
      <c r="G233" s="176">
        <f t="shared" si="8"/>
        <v>4.9419817233637864E-2</v>
      </c>
      <c r="I233" s="144" t="s">
        <v>105</v>
      </c>
    </row>
    <row r="234" spans="1:9" ht="13">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 thickBot="1"/>
    <row r="243" spans="1:7" ht="15" customHeight="1" thickBot="1">
      <c r="C243" s="327" t="s">
        <v>113</v>
      </c>
      <c r="D243" s="328"/>
      <c r="E243" s="328"/>
      <c r="F243" s="328"/>
      <c r="G243" s="329"/>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 thickBot="1">
      <c r="C246" s="180" t="s">
        <v>120</v>
      </c>
      <c r="D246" s="181"/>
      <c r="E246" s="180">
        <f>101325-0.5*1.225*E244^2</f>
        <v>97405</v>
      </c>
      <c r="F246" s="181">
        <f>101325-0.5*1.225*F244^2</f>
        <v>46199.999999999993</v>
      </c>
      <c r="G246" s="184" t="s">
        <v>121</v>
      </c>
    </row>
    <row r="247" spans="1:7" ht="15" customHeight="1" thickBot="1">
      <c r="A247" s="144" t="s">
        <v>122</v>
      </c>
      <c r="C247" s="327" t="s">
        <v>123</v>
      </c>
      <c r="D247" s="328"/>
      <c r="E247" s="328"/>
      <c r="F247" s="328"/>
      <c r="G247" s="329"/>
    </row>
    <row r="248" spans="1:7">
      <c r="A248" s="144" t="s">
        <v>124</v>
      </c>
      <c r="C248" s="180" t="s">
        <v>118</v>
      </c>
      <c r="D248" s="181"/>
      <c r="E248" s="180">
        <f>288-(E244^2)/(2*1005)</f>
        <v>284.81592039800995</v>
      </c>
      <c r="F248" s="181">
        <f>288-(F244^2)/(2*1005)</f>
        <v>243.22388059701493</v>
      </c>
      <c r="G248" s="182" t="s">
        <v>119</v>
      </c>
    </row>
    <row r="249" spans="1:7" ht="13" thickBot="1">
      <c r="A249" s="144" t="s">
        <v>125</v>
      </c>
      <c r="C249" s="180" t="s">
        <v>120</v>
      </c>
      <c r="D249" s="181"/>
      <c r="E249" s="180">
        <f>(101325)*(E248/288)^(1.4/(1.4-1))</f>
        <v>97458.073088268851</v>
      </c>
      <c r="F249" s="181">
        <f>(101325)*(F248/288)^(1.4/(1.4-1))</f>
        <v>56087.315222353413</v>
      </c>
      <c r="G249" s="184" t="s">
        <v>121</v>
      </c>
    </row>
    <row r="250" spans="1:7" ht="13"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30" t="s">
        <v>78</v>
      </c>
    </row>
    <row r="257" spans="1:12">
      <c r="C257" s="189" t="s">
        <v>131</v>
      </c>
      <c r="D257" s="189" t="s">
        <v>132</v>
      </c>
      <c r="E257" s="189">
        <f>300/330</f>
        <v>0.90909090909090906</v>
      </c>
      <c r="F257" s="331"/>
    </row>
    <row r="259" spans="1:12" ht="13" thickBot="1"/>
    <row r="260" spans="1:12" ht="13" thickBot="1">
      <c r="A260" s="148" t="s">
        <v>44</v>
      </c>
      <c r="B260" s="149" t="s">
        <v>133</v>
      </c>
      <c r="C260" s="150"/>
      <c r="D260" s="150"/>
      <c r="E260" s="150"/>
      <c r="F260" s="151" t="s">
        <v>46</v>
      </c>
      <c r="G260" s="130" t="s">
        <v>134</v>
      </c>
      <c r="H260" s="130"/>
      <c r="I260" s="148" t="s">
        <v>48</v>
      </c>
      <c r="J260" s="149">
        <v>1</v>
      </c>
      <c r="K260" s="152" t="s">
        <v>49</v>
      </c>
      <c r="L260" s="153">
        <v>2</v>
      </c>
    </row>
    <row r="261" spans="1:12" ht="13" thickBot="1">
      <c r="A261" s="148" t="s">
        <v>50</v>
      </c>
      <c r="B261" s="149" t="s">
        <v>51</v>
      </c>
      <c r="C261" s="150"/>
      <c r="D261" s="150"/>
      <c r="E261" s="153"/>
      <c r="F261" s="148" t="s">
        <v>52</v>
      </c>
      <c r="G261" s="149"/>
      <c r="H261" s="150"/>
      <c r="I261" s="150"/>
      <c r="J261" s="147"/>
      <c r="K261" s="147"/>
      <c r="L261" s="154"/>
    </row>
    <row r="262" spans="1:12" ht="13" thickBot="1">
      <c r="A262" s="148" t="s">
        <v>53</v>
      </c>
      <c r="B262" s="149" t="s">
        <v>75</v>
      </c>
      <c r="C262" s="150"/>
      <c r="D262" s="150"/>
      <c r="E262" s="153"/>
      <c r="F262" s="148" t="s">
        <v>55</v>
      </c>
      <c r="G262" s="149"/>
      <c r="H262" s="150"/>
      <c r="I262" s="150"/>
      <c r="J262" s="150"/>
      <c r="K262" s="150"/>
      <c r="L262" s="153"/>
    </row>
    <row r="263" spans="1:12" ht="14.5">
      <c r="A263" s="326" t="s">
        <v>56</v>
      </c>
      <c r="B263" s="190" t="s">
        <v>135</v>
      </c>
      <c r="C263" s="122"/>
      <c r="D263" s="122"/>
      <c r="E263" s="122"/>
      <c r="F263" s="122"/>
      <c r="G263" s="122"/>
      <c r="H263" s="122"/>
      <c r="I263" s="122"/>
      <c r="J263" s="122"/>
      <c r="K263" s="122"/>
      <c r="L263" s="191"/>
    </row>
    <row r="264" spans="1:12" ht="14.5">
      <c r="A264" s="326"/>
      <c r="B264" s="190" t="s">
        <v>136</v>
      </c>
      <c r="L264" s="181"/>
    </row>
    <row r="265" spans="1:12" ht="13" thickBot="1">
      <c r="A265" s="326"/>
      <c r="B265" s="192"/>
      <c r="C265" s="193"/>
      <c r="D265" s="193"/>
      <c r="E265" s="193"/>
      <c r="F265" s="193"/>
      <c r="G265" s="193"/>
      <c r="H265" s="193"/>
      <c r="I265" s="193"/>
      <c r="J265" s="193"/>
      <c r="K265" s="193"/>
      <c r="L265" s="194"/>
    </row>
    <row r="267" spans="1:12" ht="13">
      <c r="A267" s="166" t="s">
        <v>137</v>
      </c>
    </row>
    <row r="268" spans="1:12" ht="13">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xr:uid="{00000000-0004-0000-0000-000000000000}"/>
    <hyperlink ref="B264" r:id="rId2" xr:uid="{00000000-0004-0000-0000-000001000000}"/>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r2:uid="{00000000-0003-0000-0000-000000000000}">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30"/>
  <sheetViews>
    <sheetView zoomScale="70" zoomScaleNormal="70" workbookViewId="0">
      <selection activeCell="C28" sqref="C28"/>
    </sheetView>
  </sheetViews>
  <sheetFormatPr defaultColWidth="9.08984375" defaultRowHeight="14.5"/>
  <cols>
    <col min="1" max="1" width="30.90625" bestFit="1" customWidth="1"/>
    <col min="3" max="3" width="74" bestFit="1" customWidth="1"/>
    <col min="4" max="4" width="49.3632812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
  <sheetViews>
    <sheetView workbookViewId="0">
      <selection activeCell="L12" sqref="L12"/>
    </sheetView>
  </sheetViews>
  <sheetFormatPr defaultColWidth="9.08984375" defaultRowHeight="14.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workbookViewId="0"/>
  </sheetViews>
  <sheetFormatPr defaultColWidth="9.08984375" defaultRowHeight="14.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
  <sheetViews>
    <sheetView workbookViewId="0"/>
  </sheetViews>
  <sheetFormatPr defaultColWidth="9.08984375" defaultRowHeight="1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workbookViewId="0">
      <selection activeCell="K28" sqref="K28"/>
    </sheetView>
  </sheetViews>
  <sheetFormatPr defaultColWidth="9.08984375" defaultRowHeight="14.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
  <sheetViews>
    <sheetView workbookViewId="0">
      <selection activeCell="O22" sqref="O22"/>
    </sheetView>
  </sheetViews>
  <sheetFormatPr defaultColWidth="9.08984375"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19"/>
  <sheetViews>
    <sheetView workbookViewId="0">
      <selection activeCell="G12" sqref="G12"/>
    </sheetView>
  </sheetViews>
  <sheetFormatPr defaultColWidth="15.36328125" defaultRowHeight="14.5"/>
  <cols>
    <col min="1" max="1" width="24.26953125" customWidth="1"/>
    <col min="7" max="7" width="9.08984375" bestFit="1" customWidth="1"/>
    <col min="8" max="8" width="20.08984375" customWidth="1"/>
  </cols>
  <sheetData>
    <row r="1" spans="1:27" ht="43"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5" customHeight="1"/>
    <row r="19" spans="1:14">
      <c r="A19" s="13" t="s">
        <v>181</v>
      </c>
    </row>
  </sheetData>
  <autoFilter ref="A1:E8" xr:uid="{00000000-0009-0000-0000-000001000000}"/>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90625" defaultRowHeight="14.5"/>
  <cols>
    <col min="1" max="1" width="1.08984375" style="1" customWidth="1"/>
    <col min="2" max="2" width="20.7265625" style="1" bestFit="1" customWidth="1"/>
    <col min="3" max="3" width="15.90625" style="1" bestFit="1" customWidth="1"/>
    <col min="4" max="4" width="12.7265625" style="1" customWidth="1"/>
    <col min="5" max="6" width="11.90625" style="1" bestFit="1" customWidth="1"/>
    <col min="7" max="7" width="8.90625" style="1"/>
    <col min="8" max="8" width="13.7265625" style="1" bestFit="1" customWidth="1"/>
    <col min="9" max="9" width="11.90625" style="1" bestFit="1" customWidth="1"/>
    <col min="10" max="10" width="8.90625" style="1"/>
    <col min="11" max="11" width="13.08984375" style="1" customWidth="1"/>
    <col min="12" max="12" width="11.90625" style="1" bestFit="1" customWidth="1"/>
    <col min="13" max="13" width="3.36328125" style="1" customWidth="1"/>
    <col min="14" max="14" width="11.26953125" style="1" customWidth="1"/>
    <col min="15" max="15" width="16.26953125" style="1" customWidth="1"/>
    <col min="16" max="20" width="8.90625" style="1"/>
    <col min="21" max="21" width="11.36328125" style="1" bestFit="1" customWidth="1"/>
    <col min="22" max="22" width="12" style="1" bestFit="1" customWidth="1"/>
    <col min="23" max="16384" width="8.90625" style="1"/>
  </cols>
  <sheetData>
    <row r="1" spans="2:22" ht="15" thickBot="1"/>
    <row r="2" spans="2:22" ht="37.15" customHeight="1">
      <c r="B2" s="350" t="s">
        <v>182</v>
      </c>
      <c r="C2" s="352"/>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32" t="s">
        <v>192</v>
      </c>
      <c r="D12" s="333"/>
      <c r="E12" s="333"/>
      <c r="F12" s="333"/>
      <c r="G12" s="334"/>
      <c r="H12" s="1" t="s">
        <v>193</v>
      </c>
      <c r="I12" s="1" t="s">
        <v>194</v>
      </c>
      <c r="J12" s="1" t="s">
        <v>195</v>
      </c>
      <c r="L12" s="72"/>
      <c r="M12" s="72"/>
      <c r="N12" s="8" t="s">
        <v>191</v>
      </c>
      <c r="O12" s="332" t="s">
        <v>196</v>
      </c>
      <c r="P12" s="333"/>
      <c r="Q12" s="333"/>
      <c r="R12" s="333"/>
      <c r="S12" s="334"/>
      <c r="T12" s="1" t="s">
        <v>193</v>
      </c>
      <c r="U12" s="1" t="s">
        <v>194</v>
      </c>
      <c r="V12" s="1" t="s">
        <v>195</v>
      </c>
    </row>
    <row r="13" spans="2:22">
      <c r="B13" s="347" t="s">
        <v>197</v>
      </c>
      <c r="C13" s="79"/>
      <c r="D13" s="80"/>
      <c r="E13" s="80"/>
      <c r="F13" s="80"/>
      <c r="G13" s="81"/>
      <c r="H13" s="1">
        <v>0</v>
      </c>
      <c r="I13" s="1">
        <v>0</v>
      </c>
      <c r="J13" s="1">
        <f>I13*-1</f>
        <v>0</v>
      </c>
      <c r="L13" s="72"/>
      <c r="M13" s="72"/>
      <c r="N13" s="347" t="s">
        <v>197</v>
      </c>
      <c r="O13" s="79"/>
      <c r="P13" s="80"/>
      <c r="Q13" s="80"/>
      <c r="R13" s="80"/>
      <c r="S13" s="81"/>
      <c r="T13" s="1">
        <v>0</v>
      </c>
      <c r="U13" s="1">
        <v>0</v>
      </c>
      <c r="V13" s="1">
        <f>U13*-1</f>
        <v>0</v>
      </c>
    </row>
    <row r="14" spans="2:22">
      <c r="B14" s="348"/>
      <c r="C14" s="82"/>
      <c r="D14" s="72"/>
      <c r="E14" s="72"/>
      <c r="F14" s="72"/>
      <c r="G14" s="83"/>
      <c r="H14" s="1">
        <f>(D26/8/2)</f>
        <v>1.875</v>
      </c>
      <c r="I14" s="1">
        <f t="shared" ref="I14:I22" si="0">H14*$D$24</f>
        <v>0.39687499999999998</v>
      </c>
      <c r="J14" s="1">
        <f t="shared" ref="J14:J22" si="1">I14*-1</f>
        <v>-0.39687499999999998</v>
      </c>
      <c r="L14" s="72"/>
      <c r="M14" s="72"/>
      <c r="N14" s="348"/>
      <c r="O14" s="82"/>
      <c r="P14" s="72"/>
      <c r="Q14" s="72"/>
      <c r="R14" s="72"/>
      <c r="S14" s="83"/>
      <c r="T14" s="1">
        <f>(P26/8/2)</f>
        <v>1.875</v>
      </c>
      <c r="U14" s="1">
        <f t="shared" ref="U14:U22" si="2">SQRT(Rogive^2-(LargeOgive-T14)^2)-(Rogive-$P$25/2)</f>
        <v>0.80028140974278017</v>
      </c>
      <c r="V14" s="1">
        <f>-U14</f>
        <v>-0.80028140974278017</v>
      </c>
    </row>
    <row r="15" spans="2:22">
      <c r="B15" s="348"/>
      <c r="C15" s="82"/>
      <c r="D15" s="72"/>
      <c r="E15" s="72"/>
      <c r="F15" s="72"/>
      <c r="G15" s="83"/>
      <c r="H15" s="1">
        <f>($D$26/8)+H14</f>
        <v>5.625</v>
      </c>
      <c r="I15" s="1">
        <f t="shared" si="0"/>
        <v>1.190625</v>
      </c>
      <c r="J15" s="1">
        <f t="shared" si="1"/>
        <v>-1.190625</v>
      </c>
      <c r="L15" s="72"/>
      <c r="M15" s="72"/>
      <c r="N15" s="348"/>
      <c r="O15" s="82"/>
      <c r="P15" s="72"/>
      <c r="Q15" s="72"/>
      <c r="R15" s="72"/>
      <c r="S15" s="83"/>
      <c r="T15" s="1">
        <f>($D$26/8)+T14</f>
        <v>5.625</v>
      </c>
      <c r="U15" s="1">
        <f t="shared" si="2"/>
        <v>2.2227341724329506</v>
      </c>
      <c r="V15" s="1">
        <f t="shared" ref="V15:V22" si="3">-U15</f>
        <v>-2.2227341724329506</v>
      </c>
    </row>
    <row r="16" spans="2:22">
      <c r="B16" s="348"/>
      <c r="C16" s="82"/>
      <c r="D16" s="72"/>
      <c r="E16" s="72"/>
      <c r="F16" s="72"/>
      <c r="G16" s="83"/>
      <c r="H16" s="1">
        <f t="shared" ref="H16:H21" si="4">($D$26/8)+H15</f>
        <v>9.375</v>
      </c>
      <c r="I16" s="1">
        <f t="shared" si="0"/>
        <v>1.984375</v>
      </c>
      <c r="J16" s="1">
        <f t="shared" si="1"/>
        <v>-1.984375</v>
      </c>
      <c r="L16" s="72"/>
      <c r="M16" s="72"/>
      <c r="N16" s="348"/>
      <c r="O16" s="82"/>
      <c r="P16" s="72"/>
      <c r="Q16" s="72"/>
      <c r="R16" s="72"/>
      <c r="S16" s="83"/>
      <c r="T16" s="1">
        <f t="shared" ref="T16:T21" si="5">($D$26/8)+T15</f>
        <v>9.375</v>
      </c>
      <c r="U16" s="1">
        <f t="shared" si="2"/>
        <v>3.4193360049676613</v>
      </c>
      <c r="V16" s="1">
        <f t="shared" si="3"/>
        <v>-3.4193360049676613</v>
      </c>
    </row>
    <row r="17" spans="2:22">
      <c r="B17" s="348"/>
      <c r="C17" s="82"/>
      <c r="D17" s="72"/>
      <c r="E17" s="72"/>
      <c r="F17" s="72"/>
      <c r="G17" s="83"/>
      <c r="H17" s="1">
        <f t="shared" si="4"/>
        <v>13.125</v>
      </c>
      <c r="I17" s="1">
        <f t="shared" si="0"/>
        <v>2.7781250000000002</v>
      </c>
      <c r="J17" s="1">
        <f t="shared" si="1"/>
        <v>-2.7781250000000002</v>
      </c>
      <c r="L17" s="72"/>
      <c r="M17" s="72"/>
      <c r="N17" s="348"/>
      <c r="O17" s="82"/>
      <c r="P17" s="72"/>
      <c r="Q17" s="72"/>
      <c r="R17" s="72"/>
      <c r="S17" s="83"/>
      <c r="T17" s="1">
        <f t="shared" si="5"/>
        <v>13.125</v>
      </c>
      <c r="U17" s="1">
        <f t="shared" si="2"/>
        <v>4.4013339085217069</v>
      </c>
      <c r="V17" s="1">
        <f t="shared" si="3"/>
        <v>-4.4013339085217069</v>
      </c>
    </row>
    <row r="18" spans="2:22">
      <c r="B18" s="348"/>
      <c r="C18" s="82"/>
      <c r="D18" s="72"/>
      <c r="E18" s="72"/>
      <c r="F18" s="72"/>
      <c r="G18" s="83"/>
      <c r="H18" s="1">
        <f t="shared" si="4"/>
        <v>16.875</v>
      </c>
      <c r="I18" s="1">
        <f t="shared" si="0"/>
        <v>3.5718749999999999</v>
      </c>
      <c r="J18" s="1">
        <f t="shared" si="1"/>
        <v>-3.5718749999999999</v>
      </c>
      <c r="L18" s="72"/>
      <c r="M18" s="72"/>
      <c r="N18" s="348"/>
      <c r="O18" s="82"/>
      <c r="P18" s="72"/>
      <c r="Q18" s="72"/>
      <c r="R18" s="72"/>
      <c r="S18" s="83"/>
      <c r="T18" s="1">
        <f>($D$26/8)+T17</f>
        <v>16.875</v>
      </c>
      <c r="U18" s="1">
        <f t="shared" si="2"/>
        <v>5.1774045961570891</v>
      </c>
      <c r="V18" s="1">
        <f t="shared" si="3"/>
        <v>-5.1774045961570891</v>
      </c>
    </row>
    <row r="19" spans="2:22">
      <c r="B19" s="348"/>
      <c r="C19" s="82"/>
      <c r="D19" s="72"/>
      <c r="E19" s="72"/>
      <c r="F19" s="72"/>
      <c r="G19" s="83"/>
      <c r="H19" s="1">
        <f t="shared" si="4"/>
        <v>20.625</v>
      </c>
      <c r="I19" s="1">
        <f t="shared" si="0"/>
        <v>4.3656249999999996</v>
      </c>
      <c r="J19" s="1">
        <f t="shared" si="1"/>
        <v>-4.3656249999999996</v>
      </c>
      <c r="L19" s="72"/>
      <c r="M19" s="72"/>
      <c r="N19" s="348"/>
      <c r="O19" s="82"/>
      <c r="P19" s="72"/>
      <c r="Q19" s="72"/>
      <c r="R19" s="72"/>
      <c r="S19" s="83"/>
      <c r="T19" s="1">
        <f t="shared" si="5"/>
        <v>20.625</v>
      </c>
      <c r="U19" s="1">
        <f t="shared" si="2"/>
        <v>5.7540762469702145</v>
      </c>
      <c r="V19" s="1">
        <f t="shared" si="3"/>
        <v>-5.7540762469702145</v>
      </c>
    </row>
    <row r="20" spans="2:22">
      <c r="B20" s="348"/>
      <c r="C20" s="82"/>
      <c r="D20" s="72"/>
      <c r="E20" s="72"/>
      <c r="F20" s="72"/>
      <c r="G20" s="83"/>
      <c r="H20" s="1">
        <f t="shared" si="4"/>
        <v>24.375</v>
      </c>
      <c r="I20" s="1">
        <f t="shared" si="0"/>
        <v>5.1593749999999998</v>
      </c>
      <c r="J20" s="1">
        <f t="shared" si="1"/>
        <v>-5.1593749999999998</v>
      </c>
      <c r="L20" s="72"/>
      <c r="M20" s="72"/>
      <c r="N20" s="348"/>
      <c r="O20" s="82"/>
      <c r="P20" s="72"/>
      <c r="Q20" s="72"/>
      <c r="R20" s="72"/>
      <c r="S20" s="83"/>
      <c r="T20" s="1">
        <f t="shared" si="5"/>
        <v>24.375</v>
      </c>
      <c r="U20" s="1">
        <f t="shared" si="2"/>
        <v>6.1360215886791423</v>
      </c>
      <c r="V20" s="1">
        <f t="shared" si="3"/>
        <v>-6.1360215886791423</v>
      </c>
    </row>
    <row r="21" spans="2:22">
      <c r="B21" s="348"/>
      <c r="C21" s="82"/>
      <c r="D21" s="72"/>
      <c r="E21" s="72"/>
      <c r="F21" s="72"/>
      <c r="G21" s="83"/>
      <c r="H21" s="1">
        <f t="shared" si="4"/>
        <v>28.125</v>
      </c>
      <c r="I21" s="1">
        <f t="shared" si="0"/>
        <v>5.953125</v>
      </c>
      <c r="J21" s="1">
        <f t="shared" si="1"/>
        <v>-5.953125</v>
      </c>
      <c r="L21" s="72"/>
      <c r="M21" s="72"/>
      <c r="N21" s="348"/>
      <c r="O21" s="82"/>
      <c r="P21" s="72"/>
      <c r="Q21" s="72"/>
      <c r="R21" s="72"/>
      <c r="S21" s="83"/>
      <c r="T21" s="1">
        <f t="shared" si="5"/>
        <v>28.125</v>
      </c>
      <c r="U21" s="1">
        <f t="shared" si="2"/>
        <v>6.3262551688511195</v>
      </c>
      <c r="V21" s="1">
        <f t="shared" si="3"/>
        <v>-6.3262551688511195</v>
      </c>
    </row>
    <row r="22" spans="2:22" ht="15" thickBot="1">
      <c r="B22" s="348"/>
      <c r="C22" s="82"/>
      <c r="D22" s="72"/>
      <c r="E22" s="72"/>
      <c r="F22" s="72"/>
      <c r="G22" s="83"/>
      <c r="H22" s="1">
        <f>D26</f>
        <v>30</v>
      </c>
      <c r="I22" s="1">
        <f t="shared" si="0"/>
        <v>6.35</v>
      </c>
      <c r="J22" s="1">
        <f t="shared" si="1"/>
        <v>-6.35</v>
      </c>
      <c r="L22" s="72"/>
      <c r="M22" s="72"/>
      <c r="N22" s="349"/>
      <c r="O22" s="82"/>
      <c r="P22" s="72"/>
      <c r="Q22" s="72"/>
      <c r="R22" s="72"/>
      <c r="S22" s="83"/>
      <c r="T22" s="1">
        <f>P26</f>
        <v>30</v>
      </c>
      <c r="U22" s="1">
        <f t="shared" si="2"/>
        <v>6.3499999999999943</v>
      </c>
      <c r="V22" s="1">
        <f t="shared" si="3"/>
        <v>-6.3499999999999943</v>
      </c>
    </row>
    <row r="23" spans="2:22" ht="14.5" customHeight="1">
      <c r="B23" s="367" t="s">
        <v>198</v>
      </c>
      <c r="C23" s="74"/>
      <c r="D23" s="73" t="s">
        <v>193</v>
      </c>
      <c r="E23" s="73"/>
      <c r="F23" s="73"/>
      <c r="G23" s="73"/>
      <c r="K23" s="345"/>
      <c r="N23" s="366" t="s">
        <v>198</v>
      </c>
      <c r="O23" s="74" t="s">
        <v>199</v>
      </c>
      <c r="P23" s="73">
        <f>((P25/2)^2+P26^2)/(2*(P25/2))</f>
        <v>74.041141732283464</v>
      </c>
      <c r="Q23" s="73"/>
      <c r="R23" s="73"/>
      <c r="S23" s="73"/>
    </row>
    <row r="24" spans="2:22">
      <c r="B24" s="367"/>
      <c r="C24" s="75" t="s">
        <v>200</v>
      </c>
      <c r="D24" s="1">
        <f>(F25/2)/(F26)</f>
        <v>0.21166666666666667</v>
      </c>
      <c r="K24" s="345"/>
      <c r="N24" s="367"/>
      <c r="O24" s="75" t="s">
        <v>200</v>
      </c>
      <c r="P24" s="1" t="s">
        <v>201</v>
      </c>
    </row>
    <row r="25" spans="2:22">
      <c r="B25" s="367"/>
      <c r="C25" s="75" t="s">
        <v>202</v>
      </c>
      <c r="D25" s="1">
        <f>DiameterRocket</f>
        <v>12.7</v>
      </c>
      <c r="E25" s="1" t="s">
        <v>203</v>
      </c>
      <c r="F25" s="1">
        <f>D25/100</f>
        <v>0.127</v>
      </c>
      <c r="G25" s="1" t="s">
        <v>204</v>
      </c>
      <c r="K25" s="345"/>
      <c r="N25" s="367"/>
      <c r="O25" s="75" t="s">
        <v>202</v>
      </c>
      <c r="P25" s="1">
        <f>DiameterRocket</f>
        <v>12.7</v>
      </c>
      <c r="Q25" s="1" t="s">
        <v>203</v>
      </c>
      <c r="R25" s="1">
        <f>P25/100</f>
        <v>0.127</v>
      </c>
      <c r="S25" s="1" t="s">
        <v>204</v>
      </c>
    </row>
    <row r="26" spans="2:22" ht="14.5" customHeight="1">
      <c r="B26" s="367"/>
      <c r="C26" s="76" t="s">
        <v>205</v>
      </c>
      <c r="D26" s="77">
        <v>30</v>
      </c>
      <c r="E26" s="77" t="s">
        <v>203</v>
      </c>
      <c r="F26" s="77">
        <f>D26/100</f>
        <v>0.3</v>
      </c>
      <c r="G26" s="77" t="s">
        <v>204</v>
      </c>
      <c r="K26" s="345"/>
      <c r="N26" s="367"/>
      <c r="O26" s="76" t="s">
        <v>205</v>
      </c>
      <c r="P26" s="77">
        <v>30</v>
      </c>
      <c r="Q26" s="77" t="s">
        <v>203</v>
      </c>
      <c r="R26" s="77">
        <f>P26/100</f>
        <v>0.3</v>
      </c>
      <c r="S26" s="77" t="s">
        <v>204</v>
      </c>
    </row>
    <row r="27" spans="2:22" ht="29.5" customHeight="1">
      <c r="B27" s="2" t="s">
        <v>206</v>
      </c>
      <c r="C27" s="335" t="s">
        <v>207</v>
      </c>
      <c r="D27" s="335"/>
      <c r="E27" s="335"/>
      <c r="F27" s="335"/>
      <c r="G27" s="335"/>
      <c r="L27" s="72"/>
      <c r="M27" s="72"/>
      <c r="N27" s="2" t="s">
        <v>206</v>
      </c>
      <c r="O27" s="335" t="s">
        <v>207</v>
      </c>
      <c r="P27" s="335"/>
      <c r="Q27" s="335"/>
      <c r="R27" s="335"/>
      <c r="S27" s="335"/>
    </row>
    <row r="28" spans="2:22" ht="58">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47" t="s">
        <v>210</v>
      </c>
      <c r="C31" s="350"/>
      <c r="D31" s="351"/>
      <c r="E31" s="351"/>
      <c r="F31" s="351"/>
      <c r="G31" s="352"/>
      <c r="H31" s="1">
        <f>H22</f>
        <v>30</v>
      </c>
      <c r="I31" s="1">
        <f>$D$42/2</f>
        <v>6.35</v>
      </c>
      <c r="J31" s="1">
        <f>I31*-1</f>
        <v>-6.35</v>
      </c>
    </row>
    <row r="32" spans="2:22">
      <c r="B32" s="348"/>
      <c r="C32" s="353"/>
      <c r="D32" s="342"/>
      <c r="E32" s="342"/>
      <c r="F32" s="342"/>
      <c r="G32" s="354"/>
      <c r="H32" s="12">
        <f>(D43/8/2)+H31</f>
        <v>36.25</v>
      </c>
      <c r="I32" s="1">
        <f t="shared" ref="I32:I40" si="6">$D$42/2</f>
        <v>6.35</v>
      </c>
      <c r="J32" s="1">
        <f t="shared" ref="J32:J40" si="7">I32*-1</f>
        <v>-6.35</v>
      </c>
    </row>
    <row r="33" spans="2:24">
      <c r="B33" s="348"/>
      <c r="C33" s="353"/>
      <c r="D33" s="342"/>
      <c r="E33" s="342"/>
      <c r="F33" s="342"/>
      <c r="G33" s="354"/>
      <c r="H33" s="12">
        <f>($D$43/8/2)*2+(H32)</f>
        <v>48.75</v>
      </c>
      <c r="I33" s="1">
        <f t="shared" si="6"/>
        <v>6.35</v>
      </c>
      <c r="J33" s="1">
        <f t="shared" si="7"/>
        <v>-6.35</v>
      </c>
    </row>
    <row r="34" spans="2:24">
      <c r="B34" s="348"/>
      <c r="C34" s="353"/>
      <c r="D34" s="342"/>
      <c r="E34" s="342"/>
      <c r="F34" s="342"/>
      <c r="G34" s="354"/>
      <c r="H34" s="12">
        <f t="shared" ref="H34:H39" si="8">($D$43/8/2)*2+(H33)</f>
        <v>61.25</v>
      </c>
      <c r="I34" s="1">
        <f t="shared" si="6"/>
        <v>6.35</v>
      </c>
      <c r="J34" s="1">
        <f t="shared" si="7"/>
        <v>-6.35</v>
      </c>
    </row>
    <row r="35" spans="2:24">
      <c r="B35" s="348"/>
      <c r="C35" s="353"/>
      <c r="D35" s="342"/>
      <c r="E35" s="342"/>
      <c r="F35" s="342"/>
      <c r="G35" s="354"/>
      <c r="H35" s="12">
        <f t="shared" si="8"/>
        <v>73.75</v>
      </c>
      <c r="I35" s="1">
        <f t="shared" si="6"/>
        <v>6.35</v>
      </c>
      <c r="J35" s="1">
        <f t="shared" si="7"/>
        <v>-6.35</v>
      </c>
    </row>
    <row r="36" spans="2:24">
      <c r="B36" s="348"/>
      <c r="C36" s="353"/>
      <c r="D36" s="342"/>
      <c r="E36" s="342"/>
      <c r="F36" s="342"/>
      <c r="G36" s="354"/>
      <c r="H36" s="12">
        <f t="shared" si="8"/>
        <v>86.25</v>
      </c>
      <c r="I36" s="1">
        <f t="shared" si="6"/>
        <v>6.35</v>
      </c>
      <c r="J36" s="1">
        <f t="shared" si="7"/>
        <v>-6.35</v>
      </c>
    </row>
    <row r="37" spans="2:24">
      <c r="B37" s="348"/>
      <c r="C37" s="353"/>
      <c r="D37" s="342"/>
      <c r="E37" s="342"/>
      <c r="F37" s="342"/>
      <c r="G37" s="354"/>
      <c r="H37" s="12">
        <f t="shared" si="8"/>
        <v>98.75</v>
      </c>
      <c r="I37" s="1">
        <f t="shared" si="6"/>
        <v>6.35</v>
      </c>
      <c r="J37" s="1">
        <f t="shared" si="7"/>
        <v>-6.35</v>
      </c>
    </row>
    <row r="38" spans="2:24">
      <c r="B38" s="348"/>
      <c r="C38" s="353"/>
      <c r="D38" s="342"/>
      <c r="E38" s="342"/>
      <c r="F38" s="342"/>
      <c r="G38" s="354"/>
      <c r="H38" s="12">
        <f t="shared" si="8"/>
        <v>111.25</v>
      </c>
      <c r="I38" s="1">
        <f t="shared" si="6"/>
        <v>6.35</v>
      </c>
      <c r="J38" s="1">
        <f t="shared" si="7"/>
        <v>-6.35</v>
      </c>
    </row>
    <row r="39" spans="2:24" ht="14.5" customHeight="1">
      <c r="B39" s="348"/>
      <c r="C39" s="353"/>
      <c r="D39" s="342"/>
      <c r="E39" s="342"/>
      <c r="F39" s="342"/>
      <c r="G39" s="354"/>
      <c r="H39" s="12">
        <f t="shared" si="8"/>
        <v>123.75</v>
      </c>
      <c r="I39" s="1">
        <f t="shared" si="6"/>
        <v>6.35</v>
      </c>
      <c r="J39" s="1">
        <f t="shared" si="7"/>
        <v>-6.35</v>
      </c>
    </row>
    <row r="40" spans="2:24" ht="15" thickBot="1">
      <c r="B40" s="349"/>
      <c r="C40" s="355"/>
      <c r="D40" s="356"/>
      <c r="E40" s="356"/>
      <c r="F40" s="356"/>
      <c r="G40" s="357"/>
      <c r="H40" s="12">
        <f>D43+H22</f>
        <v>130</v>
      </c>
      <c r="I40" s="1">
        <f t="shared" si="6"/>
        <v>6.35</v>
      </c>
      <c r="J40" s="1">
        <f t="shared" si="7"/>
        <v>-6.35</v>
      </c>
    </row>
    <row r="41" spans="2:24" ht="29">
      <c r="B41" s="335" t="s">
        <v>198</v>
      </c>
      <c r="C41" s="1" t="s">
        <v>211</v>
      </c>
      <c r="H41" s="12"/>
    </row>
    <row r="42" spans="2:24">
      <c r="B42" s="342"/>
      <c r="C42" s="1" t="s">
        <v>202</v>
      </c>
      <c r="D42" s="1">
        <f>DiameterRocket</f>
        <v>12.7</v>
      </c>
      <c r="E42" s="1" t="s">
        <v>203</v>
      </c>
      <c r="F42" s="1">
        <f>D42/100</f>
        <v>0.127</v>
      </c>
      <c r="G42" s="1" t="s">
        <v>204</v>
      </c>
      <c r="H42" s="12"/>
    </row>
    <row r="43" spans="2:24" ht="28.9" customHeight="1">
      <c r="B43" s="342"/>
      <c r="C43" s="1" t="s">
        <v>212</v>
      </c>
      <c r="D43" s="1">
        <v>100</v>
      </c>
      <c r="E43" s="1" t="s">
        <v>203</v>
      </c>
      <c r="F43" s="1">
        <f>D43/100</f>
        <v>1</v>
      </c>
      <c r="G43" s="1" t="s">
        <v>204</v>
      </c>
    </row>
    <row r="44" spans="2:24">
      <c r="B44" s="2" t="s">
        <v>206</v>
      </c>
      <c r="C44" s="342" t="s">
        <v>213</v>
      </c>
      <c r="D44" s="342"/>
      <c r="E44" s="342"/>
      <c r="F44" s="342"/>
      <c r="G44" s="342"/>
    </row>
    <row r="45" spans="2:24">
      <c r="B45" s="342" t="s">
        <v>208</v>
      </c>
    </row>
    <row r="46" spans="2:24">
      <c r="B46" s="342"/>
    </row>
    <row r="47" spans="2:24" ht="15" thickBot="1">
      <c r="B47" s="342"/>
    </row>
    <row r="48" spans="2:24" ht="15" customHeight="1" thickBot="1">
      <c r="K48" s="343" t="s">
        <v>214</v>
      </c>
      <c r="L48" s="344"/>
      <c r="W48" s="345" t="s">
        <v>214</v>
      </c>
      <c r="X48" s="345"/>
    </row>
    <row r="49" spans="2:24" ht="15" thickBot="1">
      <c r="B49" s="8" t="s">
        <v>191</v>
      </c>
      <c r="C49" s="343" t="s">
        <v>215</v>
      </c>
      <c r="D49" s="346"/>
      <c r="E49" s="346"/>
      <c r="F49" s="346"/>
      <c r="G49" s="344"/>
      <c r="H49" s="51" t="s">
        <v>193</v>
      </c>
      <c r="I49" s="52" t="s">
        <v>216</v>
      </c>
      <c r="J49" s="53" t="s">
        <v>217</v>
      </c>
      <c r="K49" s="51" t="s">
        <v>218</v>
      </c>
      <c r="L49" s="53" t="s">
        <v>216</v>
      </c>
      <c r="N49" s="8" t="s">
        <v>191</v>
      </c>
      <c r="O49" s="343" t="s">
        <v>219</v>
      </c>
      <c r="P49" s="346"/>
      <c r="Q49" s="346"/>
      <c r="R49" s="346"/>
      <c r="S49" s="344"/>
      <c r="T49" s="1" t="s">
        <v>193</v>
      </c>
      <c r="U49" s="1" t="s">
        <v>216</v>
      </c>
      <c r="V49" s="1" t="s">
        <v>217</v>
      </c>
      <c r="W49" s="1" t="s">
        <v>216</v>
      </c>
      <c r="X49" s="1" t="s">
        <v>220</v>
      </c>
    </row>
    <row r="50" spans="2:24">
      <c r="B50" s="347" t="s">
        <v>221</v>
      </c>
      <c r="C50" s="350"/>
      <c r="D50" s="351"/>
      <c r="E50" s="351"/>
      <c r="F50" s="351"/>
      <c r="G50" s="352"/>
      <c r="H50" s="94">
        <f>($H$40-D68-D65)</f>
        <v>110</v>
      </c>
      <c r="I50" s="95">
        <f t="shared" ref="I50:I58" si="9">IF(((($D$67)/($D$65-$D$64))*(H50-$H$50)+$I$40)&gt;($D$67+$I$40),($D$67+$I$40),(($D$67)/($D$65-$D$64))*(H50-$H$50)+$I$40)</f>
        <v>6.35</v>
      </c>
      <c r="J50" s="96">
        <f>I50*-1</f>
        <v>-6.35</v>
      </c>
      <c r="K50" s="100">
        <f>D61/D60</f>
        <v>84.59999999999998</v>
      </c>
      <c r="L50" s="101">
        <f>0</f>
        <v>0</v>
      </c>
      <c r="N50" s="347" t="s">
        <v>221</v>
      </c>
      <c r="O50" s="350"/>
      <c r="P50" s="351"/>
      <c r="Q50" s="351"/>
      <c r="R50" s="351"/>
      <c r="S50" s="352"/>
      <c r="T50" s="12">
        <f>($H$40-P68-P65)</f>
        <v>110</v>
      </c>
      <c r="U50" s="1">
        <f t="shared" ref="U50:U58" si="10">IF(((($D$67)/($D$65-$D$64))*(T50-$H$50)+$I$40)&gt;($D$67+$I$40),($D$67+$I$40),(($D$67)/($D$65-$D$64))*(T50-$H$50)+$I$40)</f>
        <v>6.35</v>
      </c>
      <c r="V50" s="12">
        <f>U50*-1</f>
        <v>-6.35</v>
      </c>
      <c r="W50" s="1">
        <f>0</f>
        <v>0</v>
      </c>
    </row>
    <row r="51" spans="2:24">
      <c r="B51" s="348"/>
      <c r="C51" s="353"/>
      <c r="D51" s="342"/>
      <c r="E51" s="342"/>
      <c r="F51" s="342"/>
      <c r="G51" s="354"/>
      <c r="H51" s="94">
        <f>(H58-H50)/8/2+H50</f>
        <v>110.9375</v>
      </c>
      <c r="I51" s="95">
        <f t="shared" si="9"/>
        <v>10.1</v>
      </c>
      <c r="J51" s="96">
        <f t="shared" ref="J51:J57" si="11">I51*-1</f>
        <v>-10.1</v>
      </c>
      <c r="K51" s="100">
        <f>H50</f>
        <v>110</v>
      </c>
      <c r="L51" s="101">
        <v>3</v>
      </c>
      <c r="N51" s="348"/>
      <c r="O51" s="353"/>
      <c r="P51" s="342"/>
      <c r="Q51" s="342"/>
      <c r="R51" s="342"/>
      <c r="S51" s="354"/>
      <c r="T51" s="1">
        <f>(T58-T50)/8/2+T50</f>
        <v>110.9375</v>
      </c>
      <c r="U51" s="1">
        <f t="shared" si="10"/>
        <v>10.1</v>
      </c>
      <c r="V51" s="12">
        <f t="shared" ref="V51:V57" si="12">U51*-1</f>
        <v>-10.1</v>
      </c>
      <c r="W51" s="1">
        <v>3</v>
      </c>
      <c r="X51" s="1">
        <v>-3</v>
      </c>
    </row>
    <row r="52" spans="2:24">
      <c r="B52" s="348"/>
      <c r="C52" s="353"/>
      <c r="D52" s="342"/>
      <c r="E52" s="342"/>
      <c r="F52" s="342"/>
      <c r="G52" s="354"/>
      <c r="H52" s="94">
        <f t="shared" ref="H52:H57" si="13">($H$58-$H$50)/8+H51</f>
        <v>112.8125</v>
      </c>
      <c r="I52" s="95">
        <f t="shared" si="9"/>
        <v>17.600000000000001</v>
      </c>
      <c r="J52" s="96">
        <f t="shared" si="11"/>
        <v>-17.600000000000001</v>
      </c>
      <c r="K52" s="94">
        <f>H51</f>
        <v>110.9375</v>
      </c>
      <c r="L52" s="96">
        <f>I51</f>
        <v>10.1</v>
      </c>
      <c r="N52" s="348"/>
      <c r="O52" s="353"/>
      <c r="P52" s="342"/>
      <c r="Q52" s="342"/>
      <c r="R52" s="342"/>
      <c r="S52" s="354"/>
      <c r="T52" s="1">
        <f t="shared" ref="T52:T57" si="14">($H$58-$H$50)/8+T51</f>
        <v>112.8125</v>
      </c>
      <c r="U52" s="1">
        <f t="shared" si="10"/>
        <v>17.600000000000001</v>
      </c>
      <c r="V52" s="12">
        <f t="shared" si="12"/>
        <v>-17.600000000000001</v>
      </c>
      <c r="W52" s="1">
        <v>3.46875</v>
      </c>
      <c r="X52" s="1">
        <v>-3.46875</v>
      </c>
    </row>
    <row r="53" spans="2:24">
      <c r="B53" s="348"/>
      <c r="C53" s="353"/>
      <c r="D53" s="342"/>
      <c r="E53" s="342"/>
      <c r="F53" s="342"/>
      <c r="G53" s="354"/>
      <c r="H53" s="94">
        <f t="shared" si="13"/>
        <v>114.6875</v>
      </c>
      <c r="I53" s="95">
        <f t="shared" si="9"/>
        <v>25.1</v>
      </c>
      <c r="J53" s="96">
        <f t="shared" si="11"/>
        <v>-25.1</v>
      </c>
      <c r="K53" s="94">
        <f t="shared" ref="K53:K57" si="15">H52</f>
        <v>112.8125</v>
      </c>
      <c r="L53" s="96">
        <f t="shared" ref="L53:L57" si="16">I52</f>
        <v>17.600000000000001</v>
      </c>
      <c r="N53" s="348"/>
      <c r="O53" s="353"/>
      <c r="P53" s="342"/>
      <c r="Q53" s="342"/>
      <c r="R53" s="342"/>
      <c r="S53" s="354"/>
      <c r="T53" s="1">
        <f t="shared" si="14"/>
        <v>114.6875</v>
      </c>
      <c r="U53" s="1">
        <f t="shared" si="10"/>
        <v>25.1</v>
      </c>
      <c r="V53" s="12">
        <f t="shared" si="12"/>
        <v>-25.1</v>
      </c>
      <c r="W53" s="1">
        <v>4.40625</v>
      </c>
      <c r="X53" s="1">
        <v>-4.40625</v>
      </c>
    </row>
    <row r="54" spans="2:24">
      <c r="B54" s="348"/>
      <c r="C54" s="353"/>
      <c r="D54" s="342"/>
      <c r="E54" s="342"/>
      <c r="F54" s="342"/>
      <c r="G54" s="354"/>
      <c r="H54" s="94">
        <f t="shared" si="13"/>
        <v>116.5625</v>
      </c>
      <c r="I54" s="95">
        <f t="shared" si="9"/>
        <v>26.35</v>
      </c>
      <c r="J54" s="96">
        <f t="shared" si="11"/>
        <v>-26.35</v>
      </c>
      <c r="K54" s="94">
        <f t="shared" si="15"/>
        <v>114.6875</v>
      </c>
      <c r="L54" s="96">
        <f t="shared" si="16"/>
        <v>25.1</v>
      </c>
      <c r="N54" s="348"/>
      <c r="O54" s="353"/>
      <c r="P54" s="342"/>
      <c r="Q54" s="342"/>
      <c r="R54" s="342"/>
      <c r="S54" s="354"/>
      <c r="T54" s="1">
        <f t="shared" si="14"/>
        <v>116.5625</v>
      </c>
      <c r="U54" s="1">
        <f t="shared" si="10"/>
        <v>26.35</v>
      </c>
      <c r="V54" s="12">
        <f t="shared" si="12"/>
        <v>-26.35</v>
      </c>
      <c r="W54" s="1">
        <v>5.34375</v>
      </c>
      <c r="X54" s="1">
        <v>-5.34375</v>
      </c>
    </row>
    <row r="55" spans="2:24">
      <c r="B55" s="348"/>
      <c r="C55" s="353"/>
      <c r="D55" s="342"/>
      <c r="E55" s="342"/>
      <c r="F55" s="342"/>
      <c r="G55" s="354"/>
      <c r="H55" s="94">
        <f t="shared" si="13"/>
        <v>118.4375</v>
      </c>
      <c r="I55" s="95">
        <f t="shared" si="9"/>
        <v>26.35</v>
      </c>
      <c r="J55" s="96">
        <f t="shared" si="11"/>
        <v>-26.35</v>
      </c>
      <c r="K55" s="94">
        <f t="shared" si="15"/>
        <v>116.5625</v>
      </c>
      <c r="L55" s="96">
        <f t="shared" si="16"/>
        <v>26.35</v>
      </c>
      <c r="N55" s="348"/>
      <c r="O55" s="353"/>
      <c r="P55" s="342"/>
      <c r="Q55" s="342"/>
      <c r="R55" s="342"/>
      <c r="S55" s="354"/>
      <c r="T55" s="1">
        <f t="shared" si="14"/>
        <v>118.4375</v>
      </c>
      <c r="U55" s="1">
        <f t="shared" si="10"/>
        <v>26.35</v>
      </c>
      <c r="V55" s="12">
        <f t="shared" si="12"/>
        <v>-26.35</v>
      </c>
      <c r="W55" s="1">
        <v>6.28125</v>
      </c>
      <c r="X55" s="1">
        <v>-6.28125</v>
      </c>
    </row>
    <row r="56" spans="2:24">
      <c r="B56" s="348"/>
      <c r="C56" s="353"/>
      <c r="D56" s="342"/>
      <c r="E56" s="342"/>
      <c r="F56" s="342"/>
      <c r="G56" s="354"/>
      <c r="H56" s="94">
        <f t="shared" si="13"/>
        <v>120.3125</v>
      </c>
      <c r="I56" s="95">
        <f t="shared" si="9"/>
        <v>26.35</v>
      </c>
      <c r="J56" s="96">
        <f t="shared" si="11"/>
        <v>-26.35</v>
      </c>
      <c r="K56" s="94">
        <f t="shared" si="15"/>
        <v>118.4375</v>
      </c>
      <c r="L56" s="96">
        <f t="shared" si="16"/>
        <v>26.35</v>
      </c>
      <c r="N56" s="348"/>
      <c r="O56" s="353"/>
      <c r="P56" s="342"/>
      <c r="Q56" s="342"/>
      <c r="R56" s="342"/>
      <c r="S56" s="354"/>
      <c r="T56" s="1">
        <f t="shared" si="14"/>
        <v>120.3125</v>
      </c>
      <c r="U56" s="1">
        <f t="shared" si="10"/>
        <v>26.35</v>
      </c>
      <c r="V56" s="12">
        <f t="shared" si="12"/>
        <v>-26.35</v>
      </c>
      <c r="W56" s="1">
        <v>7.21875</v>
      </c>
      <c r="X56" s="1">
        <v>-7.21875</v>
      </c>
    </row>
    <row r="57" spans="2:24">
      <c r="B57" s="348"/>
      <c r="C57" s="353"/>
      <c r="D57" s="342"/>
      <c r="E57" s="342"/>
      <c r="F57" s="342"/>
      <c r="G57" s="354"/>
      <c r="H57" s="94">
        <f t="shared" si="13"/>
        <v>122.1875</v>
      </c>
      <c r="I57" s="95">
        <f t="shared" si="9"/>
        <v>26.35</v>
      </c>
      <c r="J57" s="96">
        <f t="shared" si="11"/>
        <v>-26.35</v>
      </c>
      <c r="K57" s="94">
        <f t="shared" si="15"/>
        <v>120.3125</v>
      </c>
      <c r="L57" s="96">
        <f t="shared" si="16"/>
        <v>26.35</v>
      </c>
      <c r="N57" s="348"/>
      <c r="O57" s="353"/>
      <c r="P57" s="342"/>
      <c r="Q57" s="342"/>
      <c r="R57" s="342"/>
      <c r="S57" s="354"/>
      <c r="T57" s="1">
        <f t="shared" si="14"/>
        <v>122.1875</v>
      </c>
      <c r="U57" s="1">
        <f t="shared" si="10"/>
        <v>26.35</v>
      </c>
      <c r="V57" s="12">
        <f t="shared" si="12"/>
        <v>-26.35</v>
      </c>
      <c r="W57" s="1">
        <v>8</v>
      </c>
      <c r="X57" s="1">
        <v>-8</v>
      </c>
    </row>
    <row r="58" spans="2:24">
      <c r="B58" s="348"/>
      <c r="C58" s="353"/>
      <c r="D58" s="342"/>
      <c r="E58" s="342"/>
      <c r="F58" s="342"/>
      <c r="G58" s="354"/>
      <c r="H58" s="94">
        <f>$H$50+D65</f>
        <v>125</v>
      </c>
      <c r="I58" s="95">
        <f t="shared" si="9"/>
        <v>26.35</v>
      </c>
      <c r="J58" s="96">
        <f>I58*-1</f>
        <v>-26.35</v>
      </c>
      <c r="K58" s="94">
        <f>H58</f>
        <v>125</v>
      </c>
      <c r="L58" s="96">
        <f>IF(((($D$67)/($D$65-$D$64))*(K58-$H$50)+$I$40)&gt;($D$67+$I$40),($D$67+$I$40),(($D$67)/($D$65-$D$64))*(K58-$H$50)+$I$40)</f>
        <v>26.35</v>
      </c>
      <c r="N58" s="348"/>
      <c r="O58" s="353"/>
      <c r="P58" s="342"/>
      <c r="Q58" s="342"/>
      <c r="R58" s="342"/>
      <c r="S58" s="354"/>
      <c r="T58" s="12">
        <f>$H$50+P65</f>
        <v>125</v>
      </c>
      <c r="U58" s="1">
        <f t="shared" si="10"/>
        <v>26.35</v>
      </c>
      <c r="V58" s="12">
        <f>U58*-1</f>
        <v>-26.35</v>
      </c>
      <c r="W58" s="1">
        <v>8</v>
      </c>
      <c r="X58" s="1">
        <v>-8</v>
      </c>
    </row>
    <row r="59" spans="2:24" ht="15" customHeight="1" thickBot="1">
      <c r="B59" s="349"/>
      <c r="C59" s="358"/>
      <c r="D59" s="359"/>
      <c r="E59" s="359"/>
      <c r="F59" s="359"/>
      <c r="G59" s="360"/>
      <c r="H59" s="97">
        <f>H58</f>
        <v>125</v>
      </c>
      <c r="I59" s="98">
        <f>IF(((($D$67)/($D$65-$D$64))*(H59-$H$50)+$I$40)&gt;($D$67+$I$40),($D$67+$I$40),(($D$67)/($D$65-$D$64))*(H59-$H$50)+$I$40)-IF(((($D$67)/($D$65-$D$64))*(H59-$H$50)+$I$40)&gt;($D$67+$I$40),($D$67+$I$40),(($D$67)/($D$65-$D$64))*(H59-$H$50)+$I$40)+$I$40</f>
        <v>6.35</v>
      </c>
      <c r="J59" s="99">
        <f>I59*-1</f>
        <v>-6.35</v>
      </c>
      <c r="K59" s="100">
        <f>K58</f>
        <v>125</v>
      </c>
      <c r="L59" s="101">
        <f>L50</f>
        <v>0</v>
      </c>
      <c r="N59" s="349"/>
      <c r="O59" s="355"/>
      <c r="P59" s="356"/>
      <c r="Q59" s="356"/>
      <c r="R59" s="356"/>
      <c r="S59" s="357"/>
      <c r="T59" s="12">
        <f>T58</f>
        <v>125</v>
      </c>
      <c r="U59" s="1">
        <f>IF(((($D$67)/($D$65-$D$64))*(T59-$H$50)+$I$40)&gt;($D$67+$I$40),($D$67+$I$40),(($D$67)/($D$65-$D$64))*(T59-$H$50)+$I$40)-IF(((($D$67)/($D$65-$D$64))*(T59-$H$50)+$I$40)&gt;($D$67+$I$40),($D$67+$I$40),(($D$67)/($D$65-$D$64))*(T59-$H$50)+$I$40)+$I$40</f>
        <v>6.35</v>
      </c>
      <c r="V59" s="12">
        <f>U59*-1</f>
        <v>-6.35</v>
      </c>
    </row>
    <row r="60" spans="2:24" ht="16.149999999999999" customHeight="1">
      <c r="B60" s="361" t="s">
        <v>198</v>
      </c>
      <c r="C60" s="90" t="s">
        <v>222</v>
      </c>
      <c r="D60" s="54">
        <f>TAN(RADIANS(F60))</f>
        <v>0.24999999999999981</v>
      </c>
      <c r="E60" s="84" t="s">
        <v>223</v>
      </c>
      <c r="F60" s="56">
        <f>90-DEGREES(ATAN(D67/(D65-D64)))</f>
        <v>14.036243467926468</v>
      </c>
      <c r="G60" s="57" t="s">
        <v>224</v>
      </c>
      <c r="H60" s="336" t="s">
        <v>225</v>
      </c>
      <c r="I60" s="337"/>
      <c r="J60" s="338"/>
      <c r="K60" s="90" t="s">
        <v>226</v>
      </c>
      <c r="L60" s="57">
        <f>K67^2/K68</f>
        <v>1.0456349206349203</v>
      </c>
      <c r="N60" s="335" t="s">
        <v>198</v>
      </c>
      <c r="O60" s="1" t="s">
        <v>227</v>
      </c>
    </row>
    <row r="61" spans="2:24" ht="16.149999999999999" customHeight="1" thickBot="1">
      <c r="B61" s="362"/>
      <c r="C61" s="89" t="s">
        <v>228</v>
      </c>
      <c r="D61" s="91">
        <f>-I50+D60*H50</f>
        <v>21.149999999999977</v>
      </c>
      <c r="E61" s="86"/>
      <c r="F61" s="61"/>
      <c r="G61" s="62"/>
      <c r="H61" s="339"/>
      <c r="I61" s="340"/>
      <c r="J61" s="341"/>
      <c r="K61" s="89"/>
      <c r="L61" s="62"/>
      <c r="N61" s="335"/>
    </row>
    <row r="62" spans="2:24" ht="27.65" customHeight="1">
      <c r="B62" s="362"/>
      <c r="C62" s="88" t="s">
        <v>229</v>
      </c>
      <c r="D62" s="220">
        <f>(D63/1000)*(I63/100)</f>
        <v>2.9999999999999997E-4</v>
      </c>
      <c r="E62" s="1" t="s">
        <v>230</v>
      </c>
      <c r="H62" s="92" t="s">
        <v>231</v>
      </c>
      <c r="I62" s="1" t="s">
        <v>232</v>
      </c>
      <c r="L62" s="59"/>
      <c r="N62" s="335"/>
    </row>
    <row r="63" spans="2:24" ht="27.65" customHeight="1">
      <c r="B63" s="362"/>
      <c r="C63" s="88" t="s">
        <v>233</v>
      </c>
      <c r="D63" s="87">
        <v>2</v>
      </c>
      <c r="E63" s="1" t="s">
        <v>234</v>
      </c>
      <c r="H63" s="85" t="s">
        <v>235</v>
      </c>
      <c r="I63" s="1">
        <v>15</v>
      </c>
      <c r="L63" s="59"/>
      <c r="N63" s="335"/>
    </row>
    <row r="64" spans="2:24">
      <c r="B64" s="363"/>
      <c r="C64" s="85" t="s">
        <v>236</v>
      </c>
      <c r="D64" s="58">
        <f>C6</f>
        <v>10</v>
      </c>
      <c r="E64" s="1" t="s">
        <v>203</v>
      </c>
      <c r="F64" s="1">
        <f>D64/100</f>
        <v>0.1</v>
      </c>
      <c r="G64" s="1" t="s">
        <v>204</v>
      </c>
      <c r="H64" s="85" t="s">
        <v>236</v>
      </c>
      <c r="I64" s="1">
        <f>D64</f>
        <v>10</v>
      </c>
      <c r="J64" s="1" t="s">
        <v>203</v>
      </c>
      <c r="K64" s="1">
        <f>I64/100</f>
        <v>0.1</v>
      </c>
      <c r="L64" s="59" t="s">
        <v>204</v>
      </c>
      <c r="N64" s="335"/>
      <c r="O64" s="1" t="s">
        <v>236</v>
      </c>
      <c r="P64" s="1">
        <f>C6</f>
        <v>10</v>
      </c>
      <c r="Q64" s="1" t="s">
        <v>203</v>
      </c>
      <c r="R64" s="1">
        <f>P64/100</f>
        <v>0.1</v>
      </c>
      <c r="S64" s="1" t="s">
        <v>204</v>
      </c>
    </row>
    <row r="65" spans="2:19">
      <c r="B65" s="364"/>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42"/>
      <c r="O65" s="1" t="s">
        <v>237</v>
      </c>
      <c r="P65" s="1">
        <f>C5</f>
        <v>15</v>
      </c>
      <c r="Q65" s="1" t="s">
        <v>203</v>
      </c>
      <c r="R65" s="1">
        <f>P65/100</f>
        <v>0.15</v>
      </c>
      <c r="S65" s="1" t="s">
        <v>204</v>
      </c>
    </row>
    <row r="66" spans="2:19">
      <c r="B66" s="364"/>
      <c r="C66" s="85" t="s">
        <v>238</v>
      </c>
      <c r="D66" s="58">
        <f>D64/D65</f>
        <v>0.66666666666666663</v>
      </c>
      <c r="E66" s="1" t="s">
        <v>201</v>
      </c>
      <c r="H66" s="85" t="s">
        <v>238</v>
      </c>
      <c r="I66" s="1">
        <f>I64/I65</f>
        <v>0.24752475247524741</v>
      </c>
      <c r="J66" s="1" t="s">
        <v>201</v>
      </c>
      <c r="K66" s="1">
        <f>I66</f>
        <v>0.24752475247524741</v>
      </c>
      <c r="L66" s="59"/>
      <c r="N66" s="342"/>
    </row>
    <row r="67" spans="2:19">
      <c r="B67" s="364"/>
      <c r="C67" s="85" t="s">
        <v>239</v>
      </c>
      <c r="D67" s="58">
        <f>C9</f>
        <v>20</v>
      </c>
      <c r="E67" s="1" t="s">
        <v>203</v>
      </c>
      <c r="F67" s="1">
        <f>D67/100</f>
        <v>0.2</v>
      </c>
      <c r="G67" s="1" t="s">
        <v>204</v>
      </c>
      <c r="H67" s="85" t="s">
        <v>240</v>
      </c>
      <c r="I67" s="1">
        <f>(D67+D42/2)*2</f>
        <v>52.7</v>
      </c>
      <c r="J67" s="1" t="s">
        <v>203</v>
      </c>
      <c r="K67" s="1">
        <f t="shared" si="17"/>
        <v>0.52700000000000002</v>
      </c>
      <c r="L67" s="59" t="s">
        <v>204</v>
      </c>
      <c r="N67" s="342"/>
      <c r="O67" s="1" t="s">
        <v>239</v>
      </c>
      <c r="P67" s="1">
        <f>C9</f>
        <v>20</v>
      </c>
      <c r="Q67" s="1" t="s">
        <v>203</v>
      </c>
      <c r="R67" s="1">
        <f>P67/100</f>
        <v>0.2</v>
      </c>
      <c r="S67" s="1" t="s">
        <v>204</v>
      </c>
    </row>
    <row r="68" spans="2:19" ht="29.5" thickBot="1">
      <c r="B68" s="365"/>
      <c r="C68" s="86" t="s">
        <v>241</v>
      </c>
      <c r="D68" s="60">
        <v>5</v>
      </c>
      <c r="E68" s="61" t="s">
        <v>203</v>
      </c>
      <c r="F68" s="61">
        <f>D68/100</f>
        <v>0.05</v>
      </c>
      <c r="G68" s="61" t="s">
        <v>204</v>
      </c>
      <c r="H68" s="86" t="s">
        <v>242</v>
      </c>
      <c r="I68" s="61">
        <f>(I64+I65)*(I67/2)</f>
        <v>1328.0400000000006</v>
      </c>
      <c r="J68" s="61" t="s">
        <v>243</v>
      </c>
      <c r="K68" s="61">
        <f>(K64+K65)*K67</f>
        <v>0.26560800000000012</v>
      </c>
      <c r="L68" s="62" t="s">
        <v>230</v>
      </c>
      <c r="N68" s="342"/>
      <c r="O68" s="1" t="s">
        <v>241</v>
      </c>
      <c r="P68" s="1">
        <v>5</v>
      </c>
      <c r="Q68" s="1" t="s">
        <v>203</v>
      </c>
      <c r="R68" s="1">
        <f>P68/100</f>
        <v>0.05</v>
      </c>
      <c r="S68" s="1" t="s">
        <v>204</v>
      </c>
    </row>
    <row r="69" spans="2:19" ht="72.650000000000006" customHeight="1">
      <c r="B69" s="55" t="s">
        <v>206</v>
      </c>
      <c r="C69" s="335" t="s">
        <v>244</v>
      </c>
      <c r="D69" s="335"/>
      <c r="E69" s="335"/>
      <c r="F69" s="335"/>
      <c r="G69" s="335"/>
      <c r="N69" s="2" t="s">
        <v>206</v>
      </c>
      <c r="O69" s="342" t="s">
        <v>245</v>
      </c>
      <c r="P69" s="342"/>
      <c r="Q69" s="342"/>
      <c r="R69" s="342"/>
      <c r="S69" s="342"/>
    </row>
    <row r="70" spans="2:19">
      <c r="B70" s="342" t="s">
        <v>208</v>
      </c>
      <c r="C70" s="74"/>
      <c r="D70" s="73"/>
      <c r="E70" s="73"/>
      <c r="F70" s="73"/>
      <c r="G70" s="102"/>
      <c r="N70" s="342" t="s">
        <v>208</v>
      </c>
    </row>
    <row r="71" spans="2:19">
      <c r="B71" s="342"/>
      <c r="C71" s="75"/>
      <c r="G71" s="103"/>
      <c r="N71" s="342"/>
    </row>
    <row r="72" spans="2:19">
      <c r="B72" s="342"/>
      <c r="C72" s="76"/>
      <c r="D72" s="77"/>
      <c r="E72" s="77"/>
      <c r="F72" s="77"/>
      <c r="G72" s="104"/>
      <c r="N72" s="342"/>
    </row>
    <row r="73" spans="2:19" ht="15" thickBot="1"/>
    <row r="74" spans="2:19" ht="15" thickBot="1">
      <c r="B74" s="93" t="s">
        <v>246</v>
      </c>
    </row>
    <row r="76" spans="2:19" ht="29">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47" t="s">
        <v>253</v>
      </c>
      <c r="C88" s="350"/>
      <c r="D88" s="351"/>
      <c r="E88" s="351"/>
      <c r="F88" s="351"/>
      <c r="G88" s="352"/>
      <c r="H88" s="11">
        <f>H40</f>
        <v>130</v>
      </c>
      <c r="I88" s="11">
        <f>D99/2</f>
        <v>6.35</v>
      </c>
      <c r="J88" s="11">
        <f>I88*-1</f>
        <v>-6.35</v>
      </c>
    </row>
    <row r="89" spans="2:10">
      <c r="B89" s="348"/>
      <c r="C89" s="353"/>
      <c r="D89" s="342"/>
      <c r="E89" s="342"/>
      <c r="F89" s="342"/>
      <c r="G89" s="354"/>
      <c r="H89" s="11">
        <f>($D$100/8/2)+H88</f>
        <v>130.5</v>
      </c>
      <c r="I89" s="11">
        <f>(($I$97-$I$88)/($H$97-$H$88))*(H89-$H$88)+$I$88</f>
        <v>6.09375</v>
      </c>
      <c r="J89" s="11">
        <f t="shared" ref="J89:J98" si="20">I89*-1</f>
        <v>-6.09375</v>
      </c>
    </row>
    <row r="90" spans="2:10">
      <c r="B90" s="348"/>
      <c r="C90" s="353"/>
      <c r="D90" s="342"/>
      <c r="E90" s="342"/>
      <c r="F90" s="342"/>
      <c r="G90" s="354"/>
      <c r="H90" s="11">
        <f>($D$100/8)+H89</f>
        <v>131.5</v>
      </c>
      <c r="I90" s="11">
        <f t="shared" ref="I90:I96" si="21">(($I$97-$I$88)/($H$97-$H$88))*(H90-$H$88)+$I$88</f>
        <v>5.5812499999999998</v>
      </c>
      <c r="J90" s="11">
        <f t="shared" si="20"/>
        <v>-5.5812499999999998</v>
      </c>
    </row>
    <row r="91" spans="2:10">
      <c r="B91" s="348"/>
      <c r="C91" s="353"/>
      <c r="D91" s="342"/>
      <c r="E91" s="342"/>
      <c r="F91" s="342"/>
      <c r="G91" s="354"/>
      <c r="H91" s="11">
        <f t="shared" ref="H91:H96" si="22">($D$100/8)+H90</f>
        <v>132.5</v>
      </c>
      <c r="I91" s="11">
        <f t="shared" si="21"/>
        <v>5.0687499999999996</v>
      </c>
      <c r="J91" s="11">
        <f t="shared" si="20"/>
        <v>-5.0687499999999996</v>
      </c>
    </row>
    <row r="92" spans="2:10">
      <c r="B92" s="348"/>
      <c r="C92" s="353"/>
      <c r="D92" s="342"/>
      <c r="E92" s="342"/>
      <c r="F92" s="342"/>
      <c r="G92" s="354"/>
      <c r="H92" s="11">
        <f t="shared" si="22"/>
        <v>133.5</v>
      </c>
      <c r="I92" s="11">
        <f t="shared" si="21"/>
        <v>4.5562500000000004</v>
      </c>
      <c r="J92" s="11">
        <f t="shared" si="20"/>
        <v>-4.5562500000000004</v>
      </c>
    </row>
    <row r="93" spans="2:10">
      <c r="B93" s="348"/>
      <c r="C93" s="353"/>
      <c r="D93" s="342"/>
      <c r="E93" s="342"/>
      <c r="F93" s="342"/>
      <c r="G93" s="354"/>
      <c r="H93" s="11">
        <f t="shared" si="22"/>
        <v>134.5</v>
      </c>
      <c r="I93" s="11">
        <f t="shared" si="21"/>
        <v>4.0437499999999993</v>
      </c>
      <c r="J93" s="11">
        <f t="shared" si="20"/>
        <v>-4.0437499999999993</v>
      </c>
    </row>
    <row r="94" spans="2:10">
      <c r="B94" s="348"/>
      <c r="C94" s="353"/>
      <c r="D94" s="342"/>
      <c r="E94" s="342"/>
      <c r="F94" s="342"/>
      <c r="G94" s="354"/>
      <c r="H94" s="11">
        <f t="shared" si="22"/>
        <v>135.5</v>
      </c>
      <c r="I94" s="11">
        <f t="shared" si="21"/>
        <v>3.53125</v>
      </c>
      <c r="J94" s="11">
        <f t="shared" si="20"/>
        <v>-3.53125</v>
      </c>
    </row>
    <row r="95" spans="2:10">
      <c r="B95" s="348"/>
      <c r="C95" s="353"/>
      <c r="D95" s="342"/>
      <c r="E95" s="342"/>
      <c r="F95" s="342"/>
      <c r="G95" s="354"/>
      <c r="H95" s="11">
        <f t="shared" si="22"/>
        <v>136.5</v>
      </c>
      <c r="I95" s="11">
        <f t="shared" si="21"/>
        <v>3.0187499999999998</v>
      </c>
      <c r="J95" s="11">
        <f t="shared" si="20"/>
        <v>-3.0187499999999998</v>
      </c>
    </row>
    <row r="96" spans="2:10">
      <c r="B96" s="348"/>
      <c r="C96" s="353"/>
      <c r="D96" s="342"/>
      <c r="E96" s="342"/>
      <c r="F96" s="342"/>
      <c r="G96" s="354"/>
      <c r="H96" s="11">
        <f t="shared" si="22"/>
        <v>137.5</v>
      </c>
      <c r="I96" s="11">
        <f t="shared" si="21"/>
        <v>2.5062500000000001</v>
      </c>
      <c r="J96" s="11">
        <f t="shared" si="20"/>
        <v>-2.5062500000000001</v>
      </c>
    </row>
    <row r="97" spans="2:10" ht="15" thickBot="1">
      <c r="B97" s="349"/>
      <c r="C97" s="355"/>
      <c r="D97" s="356"/>
      <c r="E97" s="356"/>
      <c r="F97" s="356"/>
      <c r="G97" s="357"/>
      <c r="H97" s="11">
        <f>D100+H88</f>
        <v>138</v>
      </c>
      <c r="I97" s="11">
        <f>D98/2</f>
        <v>2.25</v>
      </c>
      <c r="J97" s="11">
        <f t="shared" si="20"/>
        <v>-2.25</v>
      </c>
    </row>
    <row r="98" spans="2:10" ht="29">
      <c r="B98" s="335" t="s">
        <v>198</v>
      </c>
      <c r="C98" s="1" t="s">
        <v>254</v>
      </c>
      <c r="D98" s="1">
        <v>4.5</v>
      </c>
      <c r="H98" s="11">
        <f>H97</f>
        <v>138</v>
      </c>
      <c r="I98" s="1">
        <f>0</f>
        <v>0</v>
      </c>
      <c r="J98" s="1">
        <f t="shared" si="20"/>
        <v>0</v>
      </c>
    </row>
    <row r="99" spans="2:10" ht="29">
      <c r="B99" s="342"/>
      <c r="C99" s="1" t="s">
        <v>255</v>
      </c>
      <c r="D99" s="1">
        <f>DiameterRocket</f>
        <v>12.7</v>
      </c>
      <c r="E99" s="1" t="s">
        <v>203</v>
      </c>
      <c r="F99" s="1">
        <f>D99/100</f>
        <v>0.127</v>
      </c>
      <c r="G99" s="1" t="s">
        <v>204</v>
      </c>
    </row>
    <row r="100" spans="2:10">
      <c r="B100" s="342"/>
      <c r="C100" s="1" t="s">
        <v>212</v>
      </c>
      <c r="D100" s="1">
        <v>8</v>
      </c>
      <c r="E100" s="1" t="s">
        <v>203</v>
      </c>
      <c r="F100" s="1">
        <f>D100/100</f>
        <v>0.08</v>
      </c>
      <c r="G100" s="1" t="s">
        <v>204</v>
      </c>
    </row>
    <row r="101" spans="2:10" ht="33.65" customHeight="1">
      <c r="B101" s="2" t="s">
        <v>206</v>
      </c>
      <c r="C101" s="342" t="s">
        <v>256</v>
      </c>
      <c r="D101" s="342"/>
      <c r="E101" s="342"/>
      <c r="F101" s="342"/>
      <c r="G101" s="342"/>
    </row>
    <row r="102" spans="2:10">
      <c r="B102" s="342" t="s">
        <v>208</v>
      </c>
    </row>
    <row r="103" spans="2:10">
      <c r="B103" s="342"/>
    </row>
    <row r="104" spans="2:10">
      <c r="B104" s="342"/>
    </row>
  </sheetData>
  <mergeCells count="35">
    <mergeCell ref="B2:C2"/>
    <mergeCell ref="B13:B22"/>
    <mergeCell ref="C12:G12"/>
    <mergeCell ref="N13:N22"/>
    <mergeCell ref="B45:B47"/>
    <mergeCell ref="C44:G44"/>
    <mergeCell ref="K23:K26"/>
    <mergeCell ref="N23:N26"/>
    <mergeCell ref="C27:G27"/>
    <mergeCell ref="B23:B26"/>
    <mergeCell ref="B31:B40"/>
    <mergeCell ref="C31:G40"/>
    <mergeCell ref="B41:B43"/>
    <mergeCell ref="C101:G101"/>
    <mergeCell ref="B102:B104"/>
    <mergeCell ref="C49:G49"/>
    <mergeCell ref="B50:B59"/>
    <mergeCell ref="C50:G59"/>
    <mergeCell ref="B60:B68"/>
    <mergeCell ref="C69:G69"/>
    <mergeCell ref="B70:B72"/>
    <mergeCell ref="B88:B97"/>
    <mergeCell ref="C88:G97"/>
    <mergeCell ref="B98:B100"/>
    <mergeCell ref="W48:X48"/>
    <mergeCell ref="O49:S49"/>
    <mergeCell ref="N50:N59"/>
    <mergeCell ref="O50:S59"/>
    <mergeCell ref="N60:N68"/>
    <mergeCell ref="O12:S12"/>
    <mergeCell ref="O27:S27"/>
    <mergeCell ref="H60:J61"/>
    <mergeCell ref="N70:N72"/>
    <mergeCell ref="O69:S69"/>
    <mergeCell ref="K48:L48"/>
  </mergeCells>
  <hyperlinks>
    <hyperlink ref="C28" r:id="rId1" display="https://www.youtube.com/watch?v=-05AlwGI7Jo" xr:uid="{00000000-0004-0000-0200-000000000000}"/>
    <hyperlink ref="O28" r:id="rId2" display="https://www.youtube.com/watch?v=-05AlwGI7Jo" xr:uid="{00000000-0004-0000-0200-000001000000}"/>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4:V64"/>
  <sheetViews>
    <sheetView topLeftCell="A4" zoomScale="84" zoomScaleNormal="120" workbookViewId="0">
      <selection activeCell="T25" sqref="T25"/>
    </sheetView>
  </sheetViews>
  <sheetFormatPr defaultColWidth="8.90625" defaultRowHeight="14.5"/>
  <cols>
    <col min="1" max="1" width="4.7265625" style="14" customWidth="1"/>
    <col min="2" max="2" width="20" style="14" customWidth="1"/>
    <col min="3" max="3" width="10.26953125" style="14" customWidth="1"/>
    <col min="4" max="6" width="9" style="14" bestFit="1" customWidth="1"/>
    <col min="7" max="7" width="13" style="14" bestFit="1" customWidth="1"/>
    <col min="8" max="8" width="10.6328125" style="14" bestFit="1" customWidth="1"/>
    <col min="9" max="9" width="9" style="14" bestFit="1" customWidth="1"/>
    <col min="10" max="10" width="8.90625" style="14"/>
    <col min="11" max="11" width="17.36328125" style="14" customWidth="1"/>
    <col min="12" max="12" width="10.08984375" style="14" bestFit="1" customWidth="1"/>
    <col min="13" max="13" width="9" style="14" bestFit="1" customWidth="1"/>
    <col min="14" max="14" width="11.6328125" style="14" customWidth="1"/>
    <col min="15" max="15" width="13.26953125" style="14" customWidth="1"/>
    <col min="16" max="16" width="9" style="14" bestFit="1" customWidth="1"/>
    <col min="17" max="17" width="14.90625" style="14" customWidth="1"/>
    <col min="18" max="18" width="9" style="14" bestFit="1" customWidth="1"/>
    <col min="19" max="19" width="8.90625" style="14"/>
    <col min="20" max="20" width="13" style="14" bestFit="1" customWidth="1"/>
    <col min="21" max="21" width="12.7265625" style="14" bestFit="1" customWidth="1"/>
    <col min="22" max="22" width="11.26953125" style="14" bestFit="1" customWidth="1"/>
    <col min="23" max="16384" width="8.90625" style="14"/>
  </cols>
  <sheetData>
    <row r="14" spans="2:22" ht="15" thickBot="1"/>
    <row r="15" spans="2:22" ht="15" thickBot="1">
      <c r="B15" s="202" t="s">
        <v>257</v>
      </c>
      <c r="C15" s="203" t="s">
        <v>258</v>
      </c>
      <c r="D15" s="203"/>
      <c r="E15" s="203"/>
      <c r="F15" s="204"/>
      <c r="K15" s="202" t="s">
        <v>257</v>
      </c>
      <c r="L15" s="203"/>
      <c r="M15" s="203"/>
      <c r="N15" s="203"/>
      <c r="O15" s="204"/>
      <c r="T15" s="371" t="s">
        <v>259</v>
      </c>
      <c r="U15" s="372"/>
      <c r="V15" s="373"/>
    </row>
    <row r="16" spans="2:22" ht="1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74" t="s">
        <v>259</v>
      </c>
      <c r="U23" s="375"/>
      <c r="V23" s="376"/>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77" t="s">
        <v>293</v>
      </c>
      <c r="L33" s="378"/>
      <c r="M33" s="378"/>
      <c r="N33" s="378"/>
      <c r="O33" s="378"/>
      <c r="P33" s="378"/>
      <c r="Q33" s="378"/>
      <c r="R33" s="378"/>
      <c r="S33" s="379"/>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77" t="s">
        <v>319</v>
      </c>
      <c r="L43" s="378"/>
      <c r="M43" s="378"/>
      <c r="N43" s="378"/>
      <c r="O43" s="378"/>
      <c r="P43" s="378"/>
      <c r="Q43" s="378"/>
      <c r="R43" s="378"/>
      <c r="S43" s="379"/>
    </row>
    <row r="44" spans="2:19" ht="15" thickBot="1">
      <c r="B44" s="368" t="s">
        <v>320</v>
      </c>
      <c r="C44" s="369"/>
      <c r="D44" s="369"/>
      <c r="E44" s="369"/>
      <c r="F44" s="370"/>
      <c r="K44" s="22" t="s">
        <v>295</v>
      </c>
      <c r="N44" s="121"/>
      <c r="O44" s="14" t="s">
        <v>296</v>
      </c>
      <c r="Q44" s="14" t="s">
        <v>297</v>
      </c>
      <c r="R44" s="14" t="s">
        <v>193</v>
      </c>
      <c r="S44" s="211" t="s">
        <v>298</v>
      </c>
    </row>
    <row r="45" spans="2:19" ht="29.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28"/>
  <sheetViews>
    <sheetView topLeftCell="A4" workbookViewId="0">
      <selection activeCell="E28" sqref="E28"/>
    </sheetView>
  </sheetViews>
  <sheetFormatPr defaultColWidth="9.08984375" defaultRowHeight="14.5"/>
  <cols>
    <col min="1" max="1" width="30.90625" customWidth="1"/>
    <col min="2" max="2" width="9.3632812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0.26179938779914941</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9"/>
  <sheetViews>
    <sheetView zoomScale="85" zoomScaleNormal="85" workbookViewId="0">
      <pane ySplit="10" topLeftCell="A183" activePane="bottomLeft" state="frozen"/>
      <selection pane="bottomLeft" activeCell="D31" sqref="D31"/>
    </sheetView>
  </sheetViews>
  <sheetFormatPr defaultColWidth="9.08984375" defaultRowHeight="15" customHeight="1" outlineLevelRow="1"/>
  <cols>
    <col min="1" max="1" width="39.36328125" customWidth="1"/>
    <col min="2" max="11" width="12.7265625" style="222" customWidth="1"/>
  </cols>
  <sheetData>
    <row r="1" spans="1:11" ht="30.75" customHeight="1" thickBot="1">
      <c r="A1" s="302" t="s">
        <v>581</v>
      </c>
      <c r="B1" s="222">
        <v>1</v>
      </c>
      <c r="C1" s="222">
        <v>1</v>
      </c>
      <c r="D1" s="222">
        <v>1</v>
      </c>
      <c r="E1" s="222">
        <v>1</v>
      </c>
      <c r="F1" s="222">
        <v>1</v>
      </c>
      <c r="G1" s="222">
        <v>1</v>
      </c>
      <c r="H1" s="222">
        <v>1</v>
      </c>
      <c r="I1" s="222">
        <v>1</v>
      </c>
      <c r="J1" s="222">
        <v>1</v>
      </c>
      <c r="K1" s="222">
        <v>1</v>
      </c>
    </row>
    <row r="2" spans="1:11" ht="14.5">
      <c r="A2" t="s">
        <v>335</v>
      </c>
      <c r="B2" s="222">
        <f>B6*B8</f>
        <v>20.410444385167118</v>
      </c>
      <c r="C2" s="222">
        <f t="shared" ref="C2:I2" si="0">C6*C8</f>
        <v>34.028626478304993</v>
      </c>
      <c r="D2" s="222">
        <f t="shared" si="0"/>
        <v>102.08587943491499</v>
      </c>
      <c r="E2" s="222">
        <f t="shared" si="0"/>
        <v>170.14313239152497</v>
      </c>
      <c r="F2" s="222">
        <f t="shared" si="0"/>
        <v>238.20038534813494</v>
      </c>
      <c r="G2" s="222">
        <f t="shared" si="0"/>
        <v>340.28626478304994</v>
      </c>
      <c r="H2" s="222">
        <f t="shared" si="0"/>
        <v>510.42939717457489</v>
      </c>
      <c r="I2" s="222">
        <f t="shared" si="0"/>
        <v>680.57252956609989</v>
      </c>
      <c r="J2" s="222">
        <f t="shared" ref="J2:K2" si="1">J6*J8</f>
        <v>1020.8587943491498</v>
      </c>
      <c r="K2" s="222">
        <f t="shared" si="1"/>
        <v>1701.4313239152498</v>
      </c>
    </row>
    <row r="3" spans="1:11" ht="14.5" outlineLevel="1">
      <c r="A3" t="s">
        <v>336</v>
      </c>
      <c r="B3" s="222">
        <f>B2*COS(RADIANS(B9))*COS(RADIANS(B10))</f>
        <v>19.714975357669623</v>
      </c>
      <c r="C3" s="222">
        <f t="shared" ref="C3:I3" si="2">C2*COS(RADIANS(C9))*COS(RADIANS(C10))</f>
        <v>34.028626478304993</v>
      </c>
      <c r="D3" s="222">
        <f t="shared" si="2"/>
        <v>102.08587943491499</v>
      </c>
      <c r="E3" s="222">
        <f t="shared" si="2"/>
        <v>170.14313239152497</v>
      </c>
      <c r="F3" s="222">
        <f t="shared" si="2"/>
        <v>238.20038534813494</v>
      </c>
      <c r="G3" s="222">
        <f t="shared" si="2"/>
        <v>340.28626478304994</v>
      </c>
      <c r="H3" s="222">
        <f t="shared" si="2"/>
        <v>510.42939717457489</v>
      </c>
      <c r="I3" s="222">
        <f t="shared" si="2"/>
        <v>680.57252956609989</v>
      </c>
      <c r="J3" s="222">
        <f t="shared" ref="J3" si="3">J2*COS(RADIANS(J9))*COS(RADIANS(J10))</f>
        <v>1020.8587943491498</v>
      </c>
      <c r="K3" s="222">
        <f t="shared" ref="K3" si="4">K2*COS(RADIANS(K9))*COS(RADIANS(K10))</f>
        <v>1701.4313239152498</v>
      </c>
    </row>
    <row r="4" spans="1:11" ht="14.5" outlineLevel="1">
      <c r="A4" t="s">
        <v>337</v>
      </c>
      <c r="B4" s="222">
        <f t="shared" ref="B4" si="5">B2*SIN(RADIANS(B10))</f>
        <v>0</v>
      </c>
      <c r="C4" s="222">
        <f t="shared" ref="C4:I4" si="6">C2*SIN(RADIANS(C10))</f>
        <v>0</v>
      </c>
      <c r="D4" s="222">
        <f t="shared" si="6"/>
        <v>0</v>
      </c>
      <c r="E4" s="222">
        <f t="shared" si="6"/>
        <v>0</v>
      </c>
      <c r="F4" s="222">
        <f t="shared" si="6"/>
        <v>0</v>
      </c>
      <c r="G4" s="222">
        <f t="shared" si="6"/>
        <v>0</v>
      </c>
      <c r="H4" s="222">
        <f t="shared" si="6"/>
        <v>0</v>
      </c>
      <c r="I4" s="222">
        <f t="shared" si="6"/>
        <v>0</v>
      </c>
      <c r="J4" s="222">
        <f t="shared" ref="J4:K4" si="7">J2*SIN(RADIANS(J10))</f>
        <v>0</v>
      </c>
      <c r="K4" s="222">
        <f t="shared" si="7"/>
        <v>0</v>
      </c>
    </row>
    <row r="5" spans="1:11" ht="14.5" outlineLevel="1">
      <c r="A5" t="s">
        <v>338</v>
      </c>
      <c r="B5" s="222">
        <f t="shared" ref="B5" si="8">B2*SIN(RADIANS(B9))*COS(RADIANS(B10))</f>
        <v>5.2826117258870591</v>
      </c>
      <c r="C5" s="222">
        <f t="shared" ref="C5:I5" si="9">C2*SIN(RADIANS(C9))*COS(RADIANS(C10))</f>
        <v>0</v>
      </c>
      <c r="D5" s="222">
        <f t="shared" si="9"/>
        <v>0</v>
      </c>
      <c r="E5" s="222">
        <f t="shared" si="9"/>
        <v>0</v>
      </c>
      <c r="F5" s="222">
        <f t="shared" si="9"/>
        <v>0</v>
      </c>
      <c r="G5" s="222">
        <f t="shared" si="9"/>
        <v>0</v>
      </c>
      <c r="H5" s="222">
        <f t="shared" si="9"/>
        <v>0</v>
      </c>
      <c r="I5" s="222">
        <f t="shared" si="9"/>
        <v>0</v>
      </c>
      <c r="J5" s="222">
        <f t="shared" ref="J5:K5" si="10">J2*SIN(RADIANS(J9))*COS(RADIANS(J10))</f>
        <v>0</v>
      </c>
      <c r="K5" s="222">
        <f t="shared" si="10"/>
        <v>0</v>
      </c>
    </row>
    <row r="6" spans="1:11" s="317" customFormat="1" ht="14.5">
      <c r="A6" s="317" t="s">
        <v>569</v>
      </c>
      <c r="B6" s="318">
        <v>0.06</v>
      </c>
      <c r="C6" s="318">
        <v>0.1</v>
      </c>
      <c r="D6" s="318">
        <v>0.3</v>
      </c>
      <c r="E6" s="318">
        <v>0.5</v>
      </c>
      <c r="F6" s="318">
        <v>0.7</v>
      </c>
      <c r="G6" s="318">
        <v>1</v>
      </c>
      <c r="H6" s="318">
        <v>1.5</v>
      </c>
      <c r="I6" s="318">
        <v>2</v>
      </c>
      <c r="J6" s="318">
        <v>3</v>
      </c>
      <c r="K6" s="318">
        <v>5</v>
      </c>
    </row>
    <row r="7" spans="1:11" ht="14.5">
      <c r="A7" t="s">
        <v>339</v>
      </c>
      <c r="B7" s="315">
        <f t="shared" ref="B7" si="11">B2/B8</f>
        <v>0.06</v>
      </c>
      <c r="C7" s="315">
        <f t="shared" ref="C7:I7" si="12">C2/C8</f>
        <v>9.9999999999999992E-2</v>
      </c>
      <c r="D7" s="315">
        <f t="shared" si="12"/>
        <v>0.3</v>
      </c>
      <c r="E7" s="315">
        <f t="shared" si="12"/>
        <v>0.5</v>
      </c>
      <c r="F7" s="315">
        <f t="shared" si="12"/>
        <v>0.7</v>
      </c>
      <c r="G7" s="315">
        <f t="shared" si="12"/>
        <v>1</v>
      </c>
      <c r="H7" s="315">
        <f t="shared" si="12"/>
        <v>1.5</v>
      </c>
      <c r="I7" s="315">
        <f t="shared" si="12"/>
        <v>2</v>
      </c>
      <c r="J7" s="315">
        <f t="shared" ref="J7:K7" si="13">J2/J8</f>
        <v>3</v>
      </c>
      <c r="K7" s="315">
        <f t="shared" si="13"/>
        <v>5</v>
      </c>
    </row>
    <row r="8" spans="1:11" ht="14.5">
      <c r="A8" t="s">
        <v>570</v>
      </c>
      <c r="B8" s="222">
        <f>(SQRT(1.4*B17*287))</f>
        <v>340.17407308611865</v>
      </c>
      <c r="C8" s="222">
        <f t="shared" ref="C8:I8" si="14">(SQRT(1.4*C17*287))</f>
        <v>340.28626478304994</v>
      </c>
      <c r="D8" s="222">
        <f t="shared" si="14"/>
        <v>340.28626478304994</v>
      </c>
      <c r="E8" s="222">
        <f t="shared" si="14"/>
        <v>340.28626478304994</v>
      </c>
      <c r="F8" s="222">
        <f t="shared" si="14"/>
        <v>340.28626478304994</v>
      </c>
      <c r="G8" s="222">
        <f t="shared" si="14"/>
        <v>340.28626478304994</v>
      </c>
      <c r="H8" s="222">
        <f t="shared" si="14"/>
        <v>340.28626478304994</v>
      </c>
      <c r="I8" s="222">
        <f t="shared" si="14"/>
        <v>340.28626478304994</v>
      </c>
      <c r="J8" s="222">
        <f t="shared" ref="J8:K8" si="15">(SQRT(1.4*J17*287))</f>
        <v>340.28626478304994</v>
      </c>
      <c r="K8" s="222">
        <f t="shared" si="15"/>
        <v>340.28626478304994</v>
      </c>
    </row>
    <row r="9" spans="1:11" s="317" customFormat="1" ht="14.5">
      <c r="A9" s="317" t="s">
        <v>340</v>
      </c>
      <c r="B9" s="319">
        <v>15</v>
      </c>
      <c r="C9" s="319">
        <v>0</v>
      </c>
      <c r="D9" s="319">
        <v>0</v>
      </c>
      <c r="E9" s="319">
        <v>0</v>
      </c>
      <c r="F9" s="319">
        <v>0</v>
      </c>
      <c r="G9" s="319">
        <v>0</v>
      </c>
      <c r="H9" s="319">
        <v>0</v>
      </c>
      <c r="I9" s="319">
        <v>0</v>
      </c>
      <c r="J9" s="319">
        <v>0</v>
      </c>
      <c r="K9" s="319">
        <v>0</v>
      </c>
    </row>
    <row r="10" spans="1:11" ht="14.5">
      <c r="A10" s="300" t="s">
        <v>341</v>
      </c>
      <c r="B10" s="222">
        <v>0</v>
      </c>
      <c r="C10" s="222">
        <v>0</v>
      </c>
      <c r="D10" s="222">
        <v>0</v>
      </c>
      <c r="E10" s="222">
        <v>0</v>
      </c>
      <c r="F10" s="222">
        <v>0</v>
      </c>
      <c r="G10" s="222">
        <v>0</v>
      </c>
      <c r="H10" s="222">
        <v>0</v>
      </c>
      <c r="I10" s="222">
        <v>0</v>
      </c>
      <c r="J10" s="222">
        <v>0</v>
      </c>
      <c r="K10" s="222">
        <v>0</v>
      </c>
    </row>
    <row r="11" spans="1:11" ht="14.5">
      <c r="A11" t="s">
        <v>342</v>
      </c>
      <c r="B11" s="222">
        <f t="shared" ref="B11:K11" si="16">RADIANS(AoAfins)</f>
        <v>0.26179938779914941</v>
      </c>
      <c r="C11" s="222">
        <f t="shared" si="16"/>
        <v>0.26179938779914941</v>
      </c>
      <c r="D11" s="222">
        <f t="shared" si="16"/>
        <v>0.26179938779914941</v>
      </c>
      <c r="E11" s="222">
        <f t="shared" si="16"/>
        <v>0.26179938779914941</v>
      </c>
      <c r="F11" s="222">
        <f t="shared" si="16"/>
        <v>0.26179938779914941</v>
      </c>
      <c r="G11" s="222">
        <f t="shared" si="16"/>
        <v>0.26179938779914941</v>
      </c>
      <c r="H11" s="222">
        <f t="shared" si="16"/>
        <v>0.26179938779914941</v>
      </c>
      <c r="I11" s="222">
        <f t="shared" si="16"/>
        <v>0.26179938779914941</v>
      </c>
      <c r="J11" s="222">
        <f t="shared" si="16"/>
        <v>0.26179938779914941</v>
      </c>
      <c r="K11" s="222">
        <f t="shared" si="16"/>
        <v>0.26179938779914941</v>
      </c>
    </row>
    <row r="12" spans="1:11" ht="14.5">
      <c r="A12" t="s">
        <v>343</v>
      </c>
      <c r="B12" s="222">
        <f t="shared" ref="B12:K12" si="17">RADIANS(AoSfins)</f>
        <v>0</v>
      </c>
      <c r="C12" s="222">
        <f t="shared" si="17"/>
        <v>0</v>
      </c>
      <c r="D12" s="222">
        <f t="shared" si="17"/>
        <v>0</v>
      </c>
      <c r="E12" s="222">
        <f t="shared" si="17"/>
        <v>0</v>
      </c>
      <c r="F12" s="222">
        <f t="shared" si="17"/>
        <v>0</v>
      </c>
      <c r="G12" s="222">
        <f t="shared" si="17"/>
        <v>0</v>
      </c>
      <c r="H12" s="222">
        <f t="shared" si="17"/>
        <v>0</v>
      </c>
      <c r="I12" s="222">
        <f t="shared" si="17"/>
        <v>0</v>
      </c>
      <c r="J12" s="222">
        <f t="shared" si="17"/>
        <v>0</v>
      </c>
      <c r="K12" s="222">
        <f t="shared" si="17"/>
        <v>0</v>
      </c>
    </row>
    <row r="13" spans="1:11" thickBot="1">
      <c r="A13" t="s">
        <v>344</v>
      </c>
      <c r="B13" s="222">
        <v>0</v>
      </c>
      <c r="C13" s="222">
        <v>0</v>
      </c>
      <c r="D13" s="222">
        <v>0</v>
      </c>
      <c r="E13" s="222">
        <v>0</v>
      </c>
      <c r="F13" s="222">
        <v>0</v>
      </c>
      <c r="G13" s="222">
        <v>0</v>
      </c>
      <c r="H13" s="222">
        <v>0</v>
      </c>
      <c r="I13" s="222">
        <v>0</v>
      </c>
      <c r="J13" s="222">
        <v>0</v>
      </c>
      <c r="K13" s="222">
        <v>0</v>
      </c>
    </row>
    <row r="14" spans="1:11" thickBot="1">
      <c r="A14" s="301" t="s">
        <v>571</v>
      </c>
    </row>
    <row r="15" spans="1:11" ht="14.5" outlineLevel="1">
      <c r="A15" t="s">
        <v>358</v>
      </c>
      <c r="B15" s="222">
        <f>101325*(B17/288.08)^5.256</f>
        <v>101177.1939523339</v>
      </c>
      <c r="C15" s="222">
        <f t="shared" ref="C15:I15" si="18">101325*(C17/288.08)^5.256</f>
        <v>101528.51875418922</v>
      </c>
      <c r="D15" s="222">
        <f t="shared" si="18"/>
        <v>101528.51875418922</v>
      </c>
      <c r="E15" s="222">
        <f t="shared" si="18"/>
        <v>101528.51875418922</v>
      </c>
      <c r="F15" s="222">
        <f t="shared" si="18"/>
        <v>101528.51875418922</v>
      </c>
      <c r="G15" s="222">
        <f t="shared" si="18"/>
        <v>101528.51875418922</v>
      </c>
      <c r="H15" s="222">
        <f t="shared" si="18"/>
        <v>101528.51875418922</v>
      </c>
      <c r="I15" s="222">
        <f t="shared" si="18"/>
        <v>101528.51875418922</v>
      </c>
      <c r="J15" s="222">
        <f t="shared" ref="J15:K15" si="19">101325*(J17/288.08)^5.256</f>
        <v>101528.51875418922</v>
      </c>
      <c r="K15" s="222">
        <f t="shared" si="19"/>
        <v>101528.51875418922</v>
      </c>
    </row>
    <row r="16" spans="1:11" ht="14.5" outlineLevel="1">
      <c r="A16" t="s">
        <v>346</v>
      </c>
      <c r="B16" s="222">
        <f t="shared" ref="B16" si="20">B15/(287*B17)</f>
        <v>1.2240756140187512</v>
      </c>
      <c r="C16" s="222">
        <f t="shared" ref="C16:I16" si="21">C15/(287*C17)</f>
        <v>1.2275162395185863</v>
      </c>
      <c r="D16" s="222">
        <f t="shared" si="21"/>
        <v>1.2275162395185863</v>
      </c>
      <c r="E16" s="222">
        <f t="shared" si="21"/>
        <v>1.2275162395185863</v>
      </c>
      <c r="F16" s="222">
        <f t="shared" si="21"/>
        <v>1.2275162395185863</v>
      </c>
      <c r="G16" s="222">
        <f t="shared" si="21"/>
        <v>1.2275162395185863</v>
      </c>
      <c r="H16" s="222">
        <f t="shared" si="21"/>
        <v>1.2275162395185863</v>
      </c>
      <c r="I16" s="222">
        <f t="shared" si="21"/>
        <v>1.2275162395185863</v>
      </c>
      <c r="J16" s="222">
        <f t="shared" ref="J16:K16" si="22">J15/(287*J17)</f>
        <v>1.2275162395185863</v>
      </c>
      <c r="K16" s="222">
        <f t="shared" si="22"/>
        <v>1.2275162395185863</v>
      </c>
    </row>
    <row r="17" spans="1:11" ht="14.5" outlineLevel="1">
      <c r="A17" t="s">
        <v>347</v>
      </c>
      <c r="B17" s="222">
        <f>(15-0.0065*B13)+273</f>
        <v>288</v>
      </c>
      <c r="C17" s="222">
        <f t="shared" ref="C17:I17" si="23">(15.04-0.0065*C13)+273.15</f>
        <v>288.19</v>
      </c>
      <c r="D17" s="222">
        <f t="shared" si="23"/>
        <v>288.19</v>
      </c>
      <c r="E17" s="222">
        <f t="shared" si="23"/>
        <v>288.19</v>
      </c>
      <c r="F17" s="222">
        <f t="shared" si="23"/>
        <v>288.19</v>
      </c>
      <c r="G17" s="222">
        <f t="shared" si="23"/>
        <v>288.19</v>
      </c>
      <c r="H17" s="222">
        <f t="shared" si="23"/>
        <v>288.19</v>
      </c>
      <c r="I17" s="222">
        <f t="shared" si="23"/>
        <v>288.19</v>
      </c>
      <c r="J17" s="222">
        <f t="shared" ref="J17:K17" si="24">(15.04-0.0065*J13)+273.15</f>
        <v>288.19</v>
      </c>
      <c r="K17" s="222">
        <f t="shared" si="24"/>
        <v>288.19</v>
      </c>
    </row>
    <row r="18" spans="1:11" ht="14.5" outlineLevel="1">
      <c r="A18" t="s">
        <v>568</v>
      </c>
      <c r="B18" s="222">
        <f>B17-273</f>
        <v>15</v>
      </c>
      <c r="C18" s="222">
        <f t="shared" ref="C18:I18" si="25">C17-273</f>
        <v>15.189999999999998</v>
      </c>
      <c r="D18" s="222">
        <f t="shared" si="25"/>
        <v>15.189999999999998</v>
      </c>
      <c r="E18" s="222">
        <f t="shared" si="25"/>
        <v>15.189999999999998</v>
      </c>
      <c r="F18" s="222">
        <f t="shared" si="25"/>
        <v>15.189999999999998</v>
      </c>
      <c r="G18" s="222">
        <f t="shared" si="25"/>
        <v>15.189999999999998</v>
      </c>
      <c r="H18" s="222">
        <f t="shared" si="25"/>
        <v>15.189999999999998</v>
      </c>
      <c r="I18" s="222">
        <f t="shared" si="25"/>
        <v>15.189999999999998</v>
      </c>
      <c r="J18" s="222">
        <f t="shared" ref="J18" si="26">J17-273</f>
        <v>15.189999999999998</v>
      </c>
      <c r="K18" s="222">
        <f t="shared" ref="K18" si="27">K17-273</f>
        <v>15.189999999999998</v>
      </c>
    </row>
    <row r="19" spans="1:11" ht="14.5" outlineLevel="1">
      <c r="A19" t="s">
        <v>348</v>
      </c>
      <c r="B19" s="217">
        <f>(1.76*10^-5)*((B17/273)^(3/2))*((273+110)/(B17+110))</f>
        <v>1.8351566035015911E-5</v>
      </c>
      <c r="C19" s="217">
        <f t="shared" ref="C19:I19" si="28">(1.76*10^-5)*((C17/273)^(3/2))*((273+110)/(C17+110))</f>
        <v>1.8360964149388051E-5</v>
      </c>
      <c r="D19" s="217">
        <f t="shared" si="28"/>
        <v>1.8360964149388051E-5</v>
      </c>
      <c r="E19" s="217">
        <f t="shared" si="28"/>
        <v>1.8360964149388051E-5</v>
      </c>
      <c r="F19" s="217">
        <f t="shared" si="28"/>
        <v>1.8360964149388051E-5</v>
      </c>
      <c r="G19" s="217">
        <f t="shared" si="28"/>
        <v>1.8360964149388051E-5</v>
      </c>
      <c r="H19" s="217">
        <f t="shared" si="28"/>
        <v>1.8360964149388051E-5</v>
      </c>
      <c r="I19" s="217">
        <f t="shared" si="28"/>
        <v>1.8360964149388051E-5</v>
      </c>
      <c r="J19" s="217">
        <f t="shared" ref="J19:K19" si="29">(1.76*10^-5)*((J17/273)^(3/2))*((273+110)/(J17+110))</f>
        <v>1.8360964149388051E-5</v>
      </c>
      <c r="K19" s="217">
        <f t="shared" si="29"/>
        <v>1.8360964149388051E-5</v>
      </c>
    </row>
    <row r="20" spans="1:11" ht="14.5" outlineLevel="1">
      <c r="A20" t="s">
        <v>349</v>
      </c>
      <c r="B20" s="217">
        <f t="shared" ref="B20" si="30">B19/B16</f>
        <v>1.4992183346228143E-5</v>
      </c>
      <c r="C20" s="217">
        <f t="shared" ref="C20:I20" si="31">C19/C16</f>
        <v>1.4957817712121631E-5</v>
      </c>
      <c r="D20" s="217">
        <f t="shared" si="31"/>
        <v>1.4957817712121631E-5</v>
      </c>
      <c r="E20" s="217">
        <f t="shared" si="31"/>
        <v>1.4957817712121631E-5</v>
      </c>
      <c r="F20" s="217">
        <f t="shared" si="31"/>
        <v>1.4957817712121631E-5</v>
      </c>
      <c r="G20" s="217">
        <f t="shared" si="31"/>
        <v>1.4957817712121631E-5</v>
      </c>
      <c r="H20" s="217">
        <f t="shared" si="31"/>
        <v>1.4957817712121631E-5</v>
      </c>
      <c r="I20" s="217">
        <f t="shared" si="31"/>
        <v>1.4957817712121631E-5</v>
      </c>
      <c r="J20" s="217">
        <f t="shared" ref="J20:K20" si="32">J19/J16</f>
        <v>1.4957817712121631E-5</v>
      </c>
      <c r="K20" s="217">
        <f t="shared" si="32"/>
        <v>1.4957817712121631E-5</v>
      </c>
    </row>
    <row r="21" spans="1:11" ht="14.5" outlineLevel="1">
      <c r="A21" t="s">
        <v>350</v>
      </c>
      <c r="B21" s="222">
        <v>9</v>
      </c>
      <c r="C21" s="222">
        <v>9</v>
      </c>
      <c r="D21" s="222">
        <v>9</v>
      </c>
      <c r="E21" s="222">
        <v>9</v>
      </c>
      <c r="F21" s="222">
        <v>9</v>
      </c>
      <c r="G21" s="222">
        <v>9</v>
      </c>
      <c r="H21" s="222">
        <v>9</v>
      </c>
      <c r="I21" s="222">
        <v>9</v>
      </c>
      <c r="J21" s="222">
        <v>9</v>
      </c>
      <c r="K21" s="222">
        <v>9</v>
      </c>
    </row>
    <row r="22" spans="1:11" ht="14.5" outlineLevel="1">
      <c r="A22" t="s">
        <v>359</v>
      </c>
    </row>
    <row r="23" spans="1:11" ht="14.5" outlineLevel="1">
      <c r="A23" t="s">
        <v>360</v>
      </c>
    </row>
    <row r="24" spans="1:11" ht="14.5" outlineLevel="1">
      <c r="A24" t="s">
        <v>361</v>
      </c>
    </row>
    <row r="25" spans="1:11" ht="14.5" outlineLevel="1">
      <c r="A25" t="s">
        <v>351</v>
      </c>
      <c r="B25" s="222">
        <f t="shared" ref="B25" si="33">DEGREES(ATAN((B5+B21)/B3))</f>
        <v>35.921637338271211</v>
      </c>
      <c r="C25" s="222">
        <f t="shared" ref="C25:I25" si="34">DEGREES(ATAN((C5+C21)/C3))</f>
        <v>14.814555975479079</v>
      </c>
      <c r="D25" s="222">
        <f t="shared" si="34"/>
        <v>5.0382309646817349</v>
      </c>
      <c r="E25" s="222">
        <f t="shared" si="34"/>
        <v>3.0279322124746915</v>
      </c>
      <c r="F25" s="222">
        <f t="shared" si="34"/>
        <v>2.1637951681161911</v>
      </c>
      <c r="G25" s="222">
        <f t="shared" si="34"/>
        <v>1.5150239133225982</v>
      </c>
      <c r="H25" s="222">
        <f t="shared" si="34"/>
        <v>1.0101467304454064</v>
      </c>
      <c r="I25" s="222">
        <f t="shared" si="34"/>
        <v>0.75764439054895982</v>
      </c>
      <c r="J25" s="222">
        <f t="shared" ref="J25:K25" si="35">DEGREES(ATAN((J5+J21)/J3))</f>
        <v>0.505112616327407</v>
      </c>
      <c r="K25" s="222">
        <f t="shared" si="35"/>
        <v>0.30307259479063259</v>
      </c>
    </row>
    <row r="26" spans="1:11" ht="14.5" outlineLevel="1">
      <c r="A26" t="s">
        <v>352</v>
      </c>
      <c r="B26" s="222">
        <f t="shared" ref="B26" si="36">DEGREES(ATAN((B4+B21)/B3))</f>
        <v>24.536971295091643</v>
      </c>
      <c r="C26" s="222">
        <f t="shared" ref="C26:I26" si="37">DEGREES(ATAN((C4+C21)/C3))</f>
        <v>14.814555975479079</v>
      </c>
      <c r="D26" s="222">
        <f t="shared" si="37"/>
        <v>5.0382309646817349</v>
      </c>
      <c r="E26" s="222">
        <f t="shared" si="37"/>
        <v>3.0279322124746915</v>
      </c>
      <c r="F26" s="222">
        <f t="shared" si="37"/>
        <v>2.1637951681161911</v>
      </c>
      <c r="G26" s="222">
        <f t="shared" si="37"/>
        <v>1.5150239133225982</v>
      </c>
      <c r="H26" s="222">
        <f t="shared" si="37"/>
        <v>1.0101467304454064</v>
      </c>
      <c r="I26" s="222">
        <f t="shared" si="37"/>
        <v>0.75764439054895982</v>
      </c>
      <c r="J26" s="222">
        <f t="shared" ref="J26:K26" si="38">DEGREES(ATAN((J4+J21)/J3))</f>
        <v>0.505112616327407</v>
      </c>
      <c r="K26" s="222">
        <f t="shared" si="38"/>
        <v>0.30307259479063259</v>
      </c>
    </row>
    <row r="27" spans="1:11" ht="14.5" outlineLevel="1">
      <c r="A27" t="s">
        <v>353</v>
      </c>
      <c r="B27" s="222">
        <f t="shared" ref="B27" si="39">RADIANS(B25)</f>
        <v>0.62695084426016467</v>
      </c>
      <c r="C27" s="222">
        <f t="shared" ref="C27:I27" si="40">RADIANS(C25)</f>
        <v>0.25856277899311025</v>
      </c>
      <c r="D27" s="222">
        <f t="shared" si="40"/>
        <v>8.7933718809626416E-2</v>
      </c>
      <c r="E27" s="222">
        <f t="shared" si="40"/>
        <v>5.2847386634879888E-2</v>
      </c>
      <c r="F27" s="222">
        <f t="shared" si="40"/>
        <v>3.776535002237176E-2</v>
      </c>
      <c r="G27" s="222">
        <f t="shared" si="40"/>
        <v>2.6442155533928525E-2</v>
      </c>
      <c r="H27" s="222">
        <f t="shared" si="40"/>
        <v>1.7630386374527986E-2</v>
      </c>
      <c r="I27" s="222">
        <f t="shared" si="40"/>
        <v>1.3223389174345157E-2</v>
      </c>
      <c r="J27" s="222">
        <f t="shared" ref="J27:K27" si="41">RADIANS(J25)</f>
        <v>8.8158782482761211E-3</v>
      </c>
      <c r="K27" s="222">
        <f t="shared" si="41"/>
        <v>5.2896146516591535E-3</v>
      </c>
    </row>
    <row r="28" spans="1:11" ht="14.5" outlineLevel="1">
      <c r="A28" t="s">
        <v>354</v>
      </c>
      <c r="B28" s="222">
        <f t="shared" ref="B28" si="42">RADIANS(B26)</f>
        <v>0.42825093756668631</v>
      </c>
      <c r="C28" s="222">
        <f t="shared" ref="C28:I28" si="43">RADIANS(C26)</f>
        <v>0.25856277899311025</v>
      </c>
      <c r="D28" s="222">
        <f t="shared" si="43"/>
        <v>8.7933718809626416E-2</v>
      </c>
      <c r="E28" s="222">
        <f t="shared" si="43"/>
        <v>5.2847386634879888E-2</v>
      </c>
      <c r="F28" s="222">
        <f t="shared" si="43"/>
        <v>3.776535002237176E-2</v>
      </c>
      <c r="G28" s="222">
        <f t="shared" si="43"/>
        <v>2.6442155533928525E-2</v>
      </c>
      <c r="H28" s="222">
        <f t="shared" si="43"/>
        <v>1.7630386374527986E-2</v>
      </c>
      <c r="I28" s="222">
        <f t="shared" si="43"/>
        <v>1.3223389174345157E-2</v>
      </c>
      <c r="J28" s="222">
        <f t="shared" ref="J28:K28" si="44">RADIANS(J26)</f>
        <v>8.8158782482761211E-3</v>
      </c>
      <c r="K28" s="222">
        <f t="shared" si="44"/>
        <v>5.2896146516591535E-3</v>
      </c>
    </row>
    <row r="29" spans="1:11" ht="14.5" outlineLevel="1">
      <c r="A29" t="s">
        <v>355</v>
      </c>
      <c r="B29" s="222">
        <f t="shared" ref="B29" si="45">0.5*B16*B2^2</f>
        <v>254.96652875988138</v>
      </c>
      <c r="C29" s="222">
        <f t="shared" ref="C29:I29" si="46">0.5*C16*C2^2</f>
        <v>710.69963127932442</v>
      </c>
      <c r="D29" s="222">
        <f t="shared" si="46"/>
        <v>6396.2966815139198</v>
      </c>
      <c r="E29" s="222">
        <f t="shared" si="46"/>
        <v>17767.49078198311</v>
      </c>
      <c r="F29" s="222">
        <f t="shared" si="46"/>
        <v>34824.281932686892</v>
      </c>
      <c r="G29" s="222">
        <f t="shared" si="46"/>
        <v>71069.963127932439</v>
      </c>
      <c r="H29" s="222">
        <f t="shared" si="46"/>
        <v>159907.41703784798</v>
      </c>
      <c r="I29" s="222">
        <f t="shared" si="46"/>
        <v>284279.85251172975</v>
      </c>
      <c r="J29" s="222">
        <f t="shared" ref="J29:K29" si="47">0.5*J16*J2^2</f>
        <v>639629.6681513919</v>
      </c>
      <c r="K29" s="222">
        <f t="shared" si="47"/>
        <v>1776749.0781983112</v>
      </c>
    </row>
    <row r="30" spans="1:11" ht="14.5" outlineLevel="1">
      <c r="A30" t="s">
        <v>356</v>
      </c>
      <c r="B30" s="222">
        <f t="shared" ref="B30:K30" si="48">CrossSecAreaRocket</f>
        <v>1.3867686977437444E-2</v>
      </c>
      <c r="C30" s="222">
        <f t="shared" si="48"/>
        <v>1.3867686977437444E-2</v>
      </c>
      <c r="D30" s="222">
        <f t="shared" si="48"/>
        <v>1.3867686977437444E-2</v>
      </c>
      <c r="E30" s="222">
        <f t="shared" si="48"/>
        <v>1.3867686977437444E-2</v>
      </c>
      <c r="F30" s="222">
        <f t="shared" si="48"/>
        <v>1.3867686977437444E-2</v>
      </c>
      <c r="G30" s="222">
        <f t="shared" si="48"/>
        <v>1.3867686977437444E-2</v>
      </c>
      <c r="H30" s="222">
        <f t="shared" si="48"/>
        <v>1.3867686977437444E-2</v>
      </c>
      <c r="I30" s="222">
        <f t="shared" si="48"/>
        <v>1.3867686977437444E-2</v>
      </c>
      <c r="J30" s="222">
        <f t="shared" si="48"/>
        <v>1.3867686977437444E-2</v>
      </c>
      <c r="K30" s="222">
        <f t="shared" si="48"/>
        <v>1.3867686977437444E-2</v>
      </c>
    </row>
    <row r="31" spans="1:11" ht="15" customHeight="1" thickBot="1"/>
    <row r="32" spans="1:11" thickBot="1">
      <c r="A32" s="301" t="s">
        <v>362</v>
      </c>
    </row>
    <row r="33" spans="1:11" ht="14.5" outlineLevel="1">
      <c r="A33" t="s">
        <v>363</v>
      </c>
      <c r="B33" s="222">
        <f t="shared" ref="B33:K33" si="49">DiameterRocket</f>
        <v>12.7</v>
      </c>
      <c r="C33" s="222">
        <f t="shared" si="49"/>
        <v>12.7</v>
      </c>
      <c r="D33" s="222">
        <f t="shared" si="49"/>
        <v>12.7</v>
      </c>
      <c r="E33" s="222">
        <f t="shared" si="49"/>
        <v>12.7</v>
      </c>
      <c r="F33" s="222">
        <f t="shared" si="49"/>
        <v>12.7</v>
      </c>
      <c r="G33" s="222">
        <f t="shared" si="49"/>
        <v>12.7</v>
      </c>
      <c r="H33" s="222">
        <f t="shared" si="49"/>
        <v>12.7</v>
      </c>
      <c r="I33" s="222">
        <f t="shared" si="49"/>
        <v>12.7</v>
      </c>
      <c r="J33" s="222">
        <f t="shared" si="49"/>
        <v>12.7</v>
      </c>
      <c r="K33" s="222">
        <f t="shared" si="49"/>
        <v>12.7</v>
      </c>
    </row>
    <row r="34" spans="1:11" ht="14.5" outlineLevel="1">
      <c r="A34" t="s">
        <v>364</v>
      </c>
      <c r="B34" s="222">
        <f t="shared" ref="B34" si="50">B33/100</f>
        <v>0.127</v>
      </c>
      <c r="C34" s="222">
        <f t="shared" ref="C34:I34" si="51">C33/100</f>
        <v>0.127</v>
      </c>
      <c r="D34" s="222">
        <f t="shared" si="51"/>
        <v>0.127</v>
      </c>
      <c r="E34" s="222">
        <f t="shared" si="51"/>
        <v>0.127</v>
      </c>
      <c r="F34" s="222">
        <f t="shared" si="51"/>
        <v>0.127</v>
      </c>
      <c r="G34" s="222">
        <f t="shared" si="51"/>
        <v>0.127</v>
      </c>
      <c r="H34" s="222">
        <f t="shared" si="51"/>
        <v>0.127</v>
      </c>
      <c r="I34" s="222">
        <f t="shared" si="51"/>
        <v>0.127</v>
      </c>
      <c r="J34" s="222">
        <f t="shared" ref="J34:K34" si="52">J33/100</f>
        <v>0.127</v>
      </c>
      <c r="K34" s="222">
        <f t="shared" si="52"/>
        <v>0.127</v>
      </c>
    </row>
    <row r="35" spans="1:11" ht="14.5" outlineLevel="1">
      <c r="A35" t="s">
        <v>365</v>
      </c>
      <c r="B35" s="294">
        <f t="shared" ref="B35" si="53">((B39-B37)/(-B47))*(B47+B33/2)+B39</f>
        <v>17.116666666666667</v>
      </c>
      <c r="C35" s="294">
        <f t="shared" ref="C35:I35" si="54">((C39-C37)/(-C47))*(C47+C33/2)+C39</f>
        <v>17.116666666666667</v>
      </c>
      <c r="D35" s="294">
        <f t="shared" si="54"/>
        <v>17.116666666666667</v>
      </c>
      <c r="E35" s="294">
        <f t="shared" si="54"/>
        <v>17.116666666666667</v>
      </c>
      <c r="F35" s="294">
        <f t="shared" si="54"/>
        <v>17.116666666666667</v>
      </c>
      <c r="G35" s="294">
        <f t="shared" si="54"/>
        <v>17.116666666666667</v>
      </c>
      <c r="H35" s="294">
        <f t="shared" si="54"/>
        <v>17.116666666666667</v>
      </c>
      <c r="I35" s="294">
        <f t="shared" si="54"/>
        <v>17.116666666666667</v>
      </c>
      <c r="J35" s="294">
        <f t="shared" ref="J35:K35" si="55">((J39-J37)/(-J47))*(J47+J33/2)+J39</f>
        <v>17.116666666666667</v>
      </c>
      <c r="K35" s="294">
        <f t="shared" si="55"/>
        <v>17.116666666666667</v>
      </c>
    </row>
    <row r="36" spans="1:11" ht="14.5" outlineLevel="1">
      <c r="A36" t="s">
        <v>366</v>
      </c>
      <c r="B36" s="222">
        <f t="shared" ref="B36" si="56">B35/100</f>
        <v>0.17116666666666666</v>
      </c>
      <c r="C36" s="222">
        <f t="shared" ref="C36:I36" si="57">C35/100</f>
        <v>0.17116666666666666</v>
      </c>
      <c r="D36" s="222">
        <f t="shared" si="57"/>
        <v>0.17116666666666666</v>
      </c>
      <c r="E36" s="222">
        <f t="shared" si="57"/>
        <v>0.17116666666666666</v>
      </c>
      <c r="F36" s="222">
        <f t="shared" si="57"/>
        <v>0.17116666666666666</v>
      </c>
      <c r="G36" s="222">
        <f t="shared" si="57"/>
        <v>0.17116666666666666</v>
      </c>
      <c r="H36" s="222">
        <f t="shared" si="57"/>
        <v>0.17116666666666666</v>
      </c>
      <c r="I36" s="222">
        <f t="shared" si="57"/>
        <v>0.17116666666666666</v>
      </c>
      <c r="J36" s="222">
        <f t="shared" ref="J36:K36" si="58">J35/100</f>
        <v>0.17116666666666666</v>
      </c>
      <c r="K36" s="222">
        <f t="shared" si="58"/>
        <v>0.17116666666666666</v>
      </c>
    </row>
    <row r="37" spans="1:11" ht="14.5" outlineLevel="1">
      <c r="A37" s="299" t="s">
        <v>367</v>
      </c>
      <c r="B37" s="222">
        <v>15</v>
      </c>
      <c r="C37" s="222">
        <v>15</v>
      </c>
      <c r="D37" s="222">
        <v>15</v>
      </c>
      <c r="E37" s="222">
        <v>15</v>
      </c>
      <c r="F37" s="222">
        <v>15</v>
      </c>
      <c r="G37" s="222">
        <v>15</v>
      </c>
      <c r="H37" s="222">
        <v>15</v>
      </c>
      <c r="I37" s="222">
        <v>15</v>
      </c>
      <c r="J37" s="222">
        <v>15</v>
      </c>
      <c r="K37" s="222">
        <v>15</v>
      </c>
    </row>
    <row r="38" spans="1:11" ht="14.5" outlineLevel="1">
      <c r="A38" t="s">
        <v>364</v>
      </c>
      <c r="B38" s="222">
        <f t="shared" ref="B38" si="59">B37/100</f>
        <v>0.15</v>
      </c>
      <c r="C38" s="222">
        <f t="shared" ref="C38:I38" si="60">C37/100</f>
        <v>0.15</v>
      </c>
      <c r="D38" s="222">
        <f t="shared" si="60"/>
        <v>0.15</v>
      </c>
      <c r="E38" s="222">
        <f t="shared" si="60"/>
        <v>0.15</v>
      </c>
      <c r="F38" s="222">
        <f t="shared" si="60"/>
        <v>0.15</v>
      </c>
      <c r="G38" s="222">
        <f t="shared" si="60"/>
        <v>0.15</v>
      </c>
      <c r="H38" s="222">
        <f t="shared" si="60"/>
        <v>0.15</v>
      </c>
      <c r="I38" s="222">
        <f t="shared" si="60"/>
        <v>0.15</v>
      </c>
      <c r="J38" s="222">
        <f t="shared" ref="J38:K38" si="61">J37/100</f>
        <v>0.15</v>
      </c>
      <c r="K38" s="222">
        <f t="shared" si="61"/>
        <v>0.15</v>
      </c>
    </row>
    <row r="39" spans="1:11" ht="14.5" outlineLevel="1">
      <c r="A39" s="299" t="s">
        <v>368</v>
      </c>
      <c r="B39" s="222">
        <v>10</v>
      </c>
      <c r="C39" s="222">
        <v>10</v>
      </c>
      <c r="D39" s="222">
        <v>10</v>
      </c>
      <c r="E39" s="222">
        <v>10</v>
      </c>
      <c r="F39" s="222">
        <v>10</v>
      </c>
      <c r="G39" s="222">
        <v>10</v>
      </c>
      <c r="H39" s="222">
        <v>10</v>
      </c>
      <c r="I39" s="222">
        <v>10</v>
      </c>
      <c r="J39" s="222">
        <v>10</v>
      </c>
      <c r="K39" s="222">
        <v>10</v>
      </c>
    </row>
    <row r="40" spans="1:11" ht="14.5" outlineLevel="1">
      <c r="A40" t="s">
        <v>364</v>
      </c>
      <c r="B40" s="222">
        <f t="shared" ref="B40" si="62">B39/100</f>
        <v>0.1</v>
      </c>
      <c r="C40" s="222">
        <f t="shared" ref="C40:I40" si="63">C39/100</f>
        <v>0.1</v>
      </c>
      <c r="D40" s="222">
        <f t="shared" si="63"/>
        <v>0.1</v>
      </c>
      <c r="E40" s="222">
        <f t="shared" si="63"/>
        <v>0.1</v>
      </c>
      <c r="F40" s="222">
        <f t="shared" si="63"/>
        <v>0.1</v>
      </c>
      <c r="G40" s="222">
        <f t="shared" si="63"/>
        <v>0.1</v>
      </c>
      <c r="H40" s="222">
        <f t="shared" si="63"/>
        <v>0.1</v>
      </c>
      <c r="I40" s="222">
        <f t="shared" si="63"/>
        <v>0.1</v>
      </c>
      <c r="J40" s="222">
        <f t="shared" ref="J40:K40" si="64">J39/100</f>
        <v>0.1</v>
      </c>
      <c r="K40" s="222">
        <f t="shared" si="64"/>
        <v>0.1</v>
      </c>
    </row>
    <row r="41" spans="1:11" ht="14.5" outlineLevel="1">
      <c r="A41" s="299" t="s">
        <v>369</v>
      </c>
      <c r="B41" s="222">
        <v>2</v>
      </c>
      <c r="C41" s="222">
        <v>2</v>
      </c>
      <c r="D41" s="222">
        <v>2</v>
      </c>
      <c r="E41" s="222">
        <v>2</v>
      </c>
      <c r="F41" s="222">
        <v>2</v>
      </c>
      <c r="G41" s="222">
        <v>2</v>
      </c>
      <c r="H41" s="222">
        <v>2</v>
      </c>
      <c r="I41" s="222">
        <v>2</v>
      </c>
      <c r="J41" s="222">
        <v>2</v>
      </c>
      <c r="K41" s="222">
        <v>2</v>
      </c>
    </row>
    <row r="42" spans="1:11" ht="14.5" outlineLevel="1">
      <c r="A42" t="s">
        <v>364</v>
      </c>
      <c r="B42" s="222">
        <f t="shared" ref="B42" si="65">B41/100</f>
        <v>0.02</v>
      </c>
      <c r="C42" s="222">
        <f t="shared" ref="C42:I42" si="66">C41/100</f>
        <v>0.02</v>
      </c>
      <c r="D42" s="222">
        <f t="shared" si="66"/>
        <v>0.02</v>
      </c>
      <c r="E42" s="222">
        <f t="shared" si="66"/>
        <v>0.02</v>
      </c>
      <c r="F42" s="222">
        <f t="shared" si="66"/>
        <v>0.02</v>
      </c>
      <c r="G42" s="222">
        <f t="shared" si="66"/>
        <v>0.02</v>
      </c>
      <c r="H42" s="222">
        <f t="shared" si="66"/>
        <v>0.02</v>
      </c>
      <c r="I42" s="222">
        <f t="shared" si="66"/>
        <v>0.02</v>
      </c>
      <c r="J42" s="222">
        <f t="shared" ref="J42:K42" si="67">J41/100</f>
        <v>0.02</v>
      </c>
      <c r="K42" s="222">
        <f t="shared" si="67"/>
        <v>0.02</v>
      </c>
    </row>
    <row r="43" spans="1:11" ht="14.5" outlineLevel="1">
      <c r="A43" s="299" t="s">
        <v>370</v>
      </c>
      <c r="B43" s="222">
        <v>45</v>
      </c>
      <c r="C43" s="222">
        <v>45</v>
      </c>
      <c r="D43" s="222">
        <v>45</v>
      </c>
      <c r="E43" s="222">
        <v>45</v>
      </c>
      <c r="F43" s="222">
        <v>45</v>
      </c>
      <c r="G43" s="222">
        <v>45</v>
      </c>
      <c r="H43" s="222">
        <v>45</v>
      </c>
      <c r="I43" s="222">
        <v>45</v>
      </c>
      <c r="J43" s="222">
        <v>45</v>
      </c>
      <c r="K43" s="222">
        <v>45</v>
      </c>
    </row>
    <row r="44" spans="1:11" ht="14.5" outlineLevel="1">
      <c r="A44" t="s">
        <v>371</v>
      </c>
      <c r="B44" s="222">
        <f t="shared" ref="B44" si="68">B39/B37</f>
        <v>0.66666666666666663</v>
      </c>
      <c r="C44" s="222">
        <f t="shared" ref="C44:I44" si="69">C39/C37</f>
        <v>0.66666666666666663</v>
      </c>
      <c r="D44" s="222">
        <f t="shared" si="69"/>
        <v>0.66666666666666663</v>
      </c>
      <c r="E44" s="222">
        <f t="shared" si="69"/>
        <v>0.66666666666666663</v>
      </c>
      <c r="F44" s="222">
        <f t="shared" si="69"/>
        <v>0.66666666666666663</v>
      </c>
      <c r="G44" s="222">
        <f t="shared" si="69"/>
        <v>0.66666666666666663</v>
      </c>
      <c r="H44" s="222">
        <f t="shared" si="69"/>
        <v>0.66666666666666663</v>
      </c>
      <c r="I44" s="222">
        <f t="shared" si="69"/>
        <v>0.66666666666666663</v>
      </c>
      <c r="J44" s="222">
        <f t="shared" ref="J44:K44" si="70">J39/J37</f>
        <v>0.66666666666666663</v>
      </c>
      <c r="K44" s="222">
        <f t="shared" si="70"/>
        <v>0.66666666666666663</v>
      </c>
    </row>
    <row r="45" spans="1:11" ht="14.5" outlineLevel="1">
      <c r="A45" t="s">
        <v>372</v>
      </c>
      <c r="B45" s="222">
        <f t="shared" ref="B45" si="71">B47+B33/2</f>
        <v>21.35</v>
      </c>
      <c r="C45" s="222">
        <f t="shared" ref="C45:I45" si="72">C47+C33/2</f>
        <v>21.35</v>
      </c>
      <c r="D45" s="222">
        <f t="shared" si="72"/>
        <v>21.35</v>
      </c>
      <c r="E45" s="222">
        <f t="shared" si="72"/>
        <v>21.35</v>
      </c>
      <c r="F45" s="222">
        <f t="shared" si="72"/>
        <v>21.35</v>
      </c>
      <c r="G45" s="222">
        <f t="shared" si="72"/>
        <v>21.35</v>
      </c>
      <c r="H45" s="222">
        <f t="shared" si="72"/>
        <v>21.35</v>
      </c>
      <c r="I45" s="222">
        <f t="shared" si="72"/>
        <v>21.35</v>
      </c>
      <c r="J45" s="222">
        <f t="shared" ref="J45:K45" si="73">J47+J33/2</f>
        <v>21.35</v>
      </c>
      <c r="K45" s="222">
        <f t="shared" si="73"/>
        <v>21.35</v>
      </c>
    </row>
    <row r="46" spans="1:11" ht="14.5" outlineLevel="1">
      <c r="A46" t="s">
        <v>364</v>
      </c>
      <c r="B46" s="222">
        <f t="shared" ref="B46" si="74">B45/100</f>
        <v>0.21350000000000002</v>
      </c>
      <c r="C46" s="222">
        <f t="shared" ref="C46:I46" si="75">C45/100</f>
        <v>0.21350000000000002</v>
      </c>
      <c r="D46" s="222">
        <f t="shared" si="75"/>
        <v>0.21350000000000002</v>
      </c>
      <c r="E46" s="222">
        <f t="shared" si="75"/>
        <v>0.21350000000000002</v>
      </c>
      <c r="F46" s="222">
        <f t="shared" si="75"/>
        <v>0.21350000000000002</v>
      </c>
      <c r="G46" s="222">
        <f t="shared" si="75"/>
        <v>0.21350000000000002</v>
      </c>
      <c r="H46" s="222">
        <f t="shared" si="75"/>
        <v>0.21350000000000002</v>
      </c>
      <c r="I46" s="222">
        <f t="shared" si="75"/>
        <v>0.21350000000000002</v>
      </c>
      <c r="J46" s="222">
        <f t="shared" ref="J46:K46" si="76">J45/100</f>
        <v>0.21350000000000002</v>
      </c>
      <c r="K46" s="222">
        <f t="shared" si="76"/>
        <v>0.21350000000000002</v>
      </c>
    </row>
    <row r="47" spans="1:11" ht="14.5" outlineLevel="1">
      <c r="A47" s="299" t="s">
        <v>373</v>
      </c>
      <c r="B47" s="222">
        <v>15</v>
      </c>
      <c r="C47" s="222">
        <v>15</v>
      </c>
      <c r="D47" s="222">
        <v>15</v>
      </c>
      <c r="E47" s="222">
        <v>15</v>
      </c>
      <c r="F47" s="222">
        <v>15</v>
      </c>
      <c r="G47" s="222">
        <v>15</v>
      </c>
      <c r="H47" s="222">
        <v>15</v>
      </c>
      <c r="I47" s="222">
        <v>15</v>
      </c>
      <c r="J47" s="222">
        <v>15</v>
      </c>
      <c r="K47" s="222">
        <v>15</v>
      </c>
    </row>
    <row r="48" spans="1:11" ht="14.5" outlineLevel="1">
      <c r="A48" t="s">
        <v>366</v>
      </c>
      <c r="B48" s="222">
        <f t="shared" ref="B48" si="77">B47/100</f>
        <v>0.15</v>
      </c>
      <c r="C48" s="222">
        <f t="shared" ref="C48:I48" si="78">C47/100</f>
        <v>0.15</v>
      </c>
      <c r="D48" s="222">
        <f t="shared" si="78"/>
        <v>0.15</v>
      </c>
      <c r="E48" s="222">
        <f t="shared" si="78"/>
        <v>0.15</v>
      </c>
      <c r="F48" s="222">
        <f t="shared" si="78"/>
        <v>0.15</v>
      </c>
      <c r="G48" s="222">
        <f t="shared" si="78"/>
        <v>0.15</v>
      </c>
      <c r="H48" s="222">
        <f t="shared" si="78"/>
        <v>0.15</v>
      </c>
      <c r="I48" s="222">
        <f t="shared" si="78"/>
        <v>0.15</v>
      </c>
      <c r="J48" s="222">
        <f t="shared" ref="J48:K48" si="79">J47/100</f>
        <v>0.15</v>
      </c>
      <c r="K48" s="222">
        <f t="shared" si="79"/>
        <v>0.15</v>
      </c>
    </row>
    <row r="49" spans="1:11" ht="14.5" outlineLevel="1">
      <c r="A49" t="s">
        <v>374</v>
      </c>
      <c r="B49" s="222">
        <f>(B40+B36)*B46/2</f>
        <v>2.894704166666667E-2</v>
      </c>
      <c r="C49" s="222">
        <f t="shared" ref="C49:I49" si="80">(C40+C36)*C46/2</f>
        <v>2.894704166666667E-2</v>
      </c>
      <c r="D49" s="222">
        <f t="shared" si="80"/>
        <v>2.894704166666667E-2</v>
      </c>
      <c r="E49" s="222">
        <f t="shared" si="80"/>
        <v>2.894704166666667E-2</v>
      </c>
      <c r="F49" s="222">
        <f t="shared" si="80"/>
        <v>2.894704166666667E-2</v>
      </c>
      <c r="G49" s="222">
        <f t="shared" si="80"/>
        <v>2.894704166666667E-2</v>
      </c>
      <c r="H49" s="222">
        <f t="shared" si="80"/>
        <v>2.894704166666667E-2</v>
      </c>
      <c r="I49" s="222">
        <f t="shared" si="80"/>
        <v>2.894704166666667E-2</v>
      </c>
      <c r="J49" s="222">
        <f t="shared" ref="J49:K49" si="81">(J40+J36)*J46/2</f>
        <v>2.894704166666667E-2</v>
      </c>
      <c r="K49" s="222">
        <f t="shared" si="81"/>
        <v>2.894704166666667E-2</v>
      </c>
    </row>
    <row r="50" spans="1:11" ht="14.5" outlineLevel="1">
      <c r="A50" t="s">
        <v>375</v>
      </c>
      <c r="B50" s="222">
        <f t="shared" ref="B50" si="82">(B38+B40)*B48/2</f>
        <v>1.8749999999999999E-2</v>
      </c>
      <c r="C50" s="222">
        <f t="shared" ref="C50:I50" si="83">(C38+C40)*C48/2</f>
        <v>1.8749999999999999E-2</v>
      </c>
      <c r="D50" s="222">
        <f t="shared" si="83"/>
        <v>1.8749999999999999E-2</v>
      </c>
      <c r="E50" s="222">
        <f t="shared" si="83"/>
        <v>1.8749999999999999E-2</v>
      </c>
      <c r="F50" s="222">
        <f t="shared" si="83"/>
        <v>1.8749999999999999E-2</v>
      </c>
      <c r="G50" s="222">
        <f t="shared" si="83"/>
        <v>1.8749999999999999E-2</v>
      </c>
      <c r="H50" s="222">
        <f t="shared" si="83"/>
        <v>1.8749999999999999E-2</v>
      </c>
      <c r="I50" s="222">
        <f t="shared" si="83"/>
        <v>1.8749999999999999E-2</v>
      </c>
      <c r="J50" s="222">
        <f t="shared" ref="J50:K50" si="84">(J38+J40)*J48/2</f>
        <v>1.8749999999999999E-2</v>
      </c>
      <c r="K50" s="222">
        <f t="shared" si="84"/>
        <v>1.8749999999999999E-2</v>
      </c>
    </row>
    <row r="51" spans="1:11" ht="14.5" outlineLevel="1">
      <c r="A51" t="s">
        <v>376</v>
      </c>
      <c r="B51" s="294">
        <f>((B46+B46)^2)/(B49+B49)</f>
        <v>3.1493546404425325</v>
      </c>
      <c r="C51" s="294">
        <f t="shared" ref="C51:I51" si="85">((C46+C46)^2)/(C49+C49)</f>
        <v>3.1493546404425325</v>
      </c>
      <c r="D51" s="294">
        <f t="shared" si="85"/>
        <v>3.1493546404425325</v>
      </c>
      <c r="E51" s="294">
        <f t="shared" si="85"/>
        <v>3.1493546404425325</v>
      </c>
      <c r="F51" s="294">
        <f t="shared" si="85"/>
        <v>3.1493546404425325</v>
      </c>
      <c r="G51" s="294">
        <f t="shared" si="85"/>
        <v>3.1493546404425325</v>
      </c>
      <c r="H51" s="294">
        <f t="shared" si="85"/>
        <v>3.1493546404425325</v>
      </c>
      <c r="I51" s="294">
        <f t="shared" si="85"/>
        <v>3.1493546404425325</v>
      </c>
      <c r="J51" s="294">
        <f t="shared" ref="J51:K51" si="86">((J46+J46)^2)/(J49+J49)</f>
        <v>3.1493546404425325</v>
      </c>
      <c r="K51" s="294">
        <f t="shared" si="86"/>
        <v>3.1493546404425325</v>
      </c>
    </row>
    <row r="52" spans="1:11" thickBot="1">
      <c r="B52" s="294"/>
      <c r="C52" s="294"/>
      <c r="D52" s="294"/>
      <c r="E52" s="294"/>
      <c r="F52" s="294"/>
      <c r="G52" s="294"/>
      <c r="H52" s="294"/>
      <c r="I52" s="294"/>
      <c r="J52" s="294"/>
      <c r="K52" s="294"/>
    </row>
    <row r="53" spans="1:11" thickBot="1">
      <c r="A53" s="301" t="s">
        <v>377</v>
      </c>
      <c r="B53" s="294"/>
      <c r="C53" s="294"/>
      <c r="D53" s="294"/>
      <c r="E53" s="294"/>
      <c r="F53" s="294"/>
      <c r="G53" s="294"/>
      <c r="H53" s="294"/>
      <c r="I53" s="294"/>
      <c r="J53" s="294"/>
      <c r="K53" s="294"/>
    </row>
    <row r="54" spans="1:11" ht="14.5">
      <c r="A54" t="s">
        <v>378</v>
      </c>
      <c r="B54" s="294">
        <f t="shared" ref="B54" si="87">B48/(10+1)</f>
        <v>1.3636363636363636E-2</v>
      </c>
      <c r="C54" s="294">
        <f t="shared" ref="C54:I54" si="88">C48/(10+1)</f>
        <v>1.3636363636363636E-2</v>
      </c>
      <c r="D54" s="294">
        <f t="shared" si="88"/>
        <v>1.3636363636363636E-2</v>
      </c>
      <c r="E54" s="294">
        <f t="shared" si="88"/>
        <v>1.3636363636363636E-2</v>
      </c>
      <c r="F54" s="294">
        <f t="shared" si="88"/>
        <v>1.3636363636363636E-2</v>
      </c>
      <c r="G54" s="294">
        <f t="shared" si="88"/>
        <v>1.3636363636363636E-2</v>
      </c>
      <c r="H54" s="294">
        <f t="shared" si="88"/>
        <v>1.3636363636363636E-2</v>
      </c>
      <c r="I54" s="294">
        <f t="shared" si="88"/>
        <v>1.3636363636363636E-2</v>
      </c>
      <c r="J54" s="294">
        <f t="shared" ref="J54:K54" si="89">J48/(10+1)</f>
        <v>1.3636363636363636E-2</v>
      </c>
      <c r="K54" s="294">
        <f t="shared" si="89"/>
        <v>1.3636363636363636E-2</v>
      </c>
    </row>
    <row r="55" spans="1:11" ht="14.5">
      <c r="A55" t="s">
        <v>379</v>
      </c>
      <c r="B55" s="294">
        <f t="shared" ref="B55" si="90">(B37-B39)/(-B47)</f>
        <v>-0.33333333333333331</v>
      </c>
      <c r="C55" s="294">
        <f t="shared" ref="C55:I55" si="91">(C37-C39)/(-C47)</f>
        <v>-0.33333333333333331</v>
      </c>
      <c r="D55" s="294">
        <f t="shared" si="91"/>
        <v>-0.33333333333333331</v>
      </c>
      <c r="E55" s="294">
        <f t="shared" si="91"/>
        <v>-0.33333333333333331</v>
      </c>
      <c r="F55" s="294">
        <f t="shared" si="91"/>
        <v>-0.33333333333333331</v>
      </c>
      <c r="G55" s="294">
        <f t="shared" si="91"/>
        <v>-0.33333333333333331</v>
      </c>
      <c r="H55" s="294">
        <f t="shared" si="91"/>
        <v>-0.33333333333333331</v>
      </c>
      <c r="I55" s="294">
        <f t="shared" si="91"/>
        <v>-0.33333333333333331</v>
      </c>
      <c r="J55" s="294">
        <f t="shared" ref="J55:K55" si="92">(J37-J39)/(-J47)</f>
        <v>-0.33333333333333331</v>
      </c>
      <c r="K55" s="294">
        <f t="shared" si="92"/>
        <v>-0.33333333333333331</v>
      </c>
    </row>
    <row r="56" spans="1:11" ht="14.5">
      <c r="A56" t="s">
        <v>380</v>
      </c>
      <c r="B56" s="294"/>
      <c r="C56" s="294"/>
      <c r="D56" s="294"/>
      <c r="E56" s="294"/>
      <c r="F56" s="294"/>
      <c r="G56" s="294"/>
      <c r="H56" s="294"/>
      <c r="I56" s="294"/>
      <c r="J56" s="294"/>
      <c r="K56" s="294"/>
    </row>
    <row r="57" spans="1:11" ht="14.5" hidden="1" outlineLevel="1">
      <c r="A57">
        <v>1</v>
      </c>
      <c r="B57" s="294">
        <f>(B54/2)</f>
        <v>6.8181818181818179E-3</v>
      </c>
      <c r="C57" s="294">
        <f t="shared" ref="C57:I57" si="93">(C54/2)</f>
        <v>6.8181818181818179E-3</v>
      </c>
      <c r="D57" s="294">
        <f t="shared" si="93"/>
        <v>6.8181818181818179E-3</v>
      </c>
      <c r="E57" s="294">
        <f t="shared" si="93"/>
        <v>6.8181818181818179E-3</v>
      </c>
      <c r="F57" s="294">
        <f t="shared" si="93"/>
        <v>6.8181818181818179E-3</v>
      </c>
      <c r="G57" s="294">
        <f t="shared" si="93"/>
        <v>6.8181818181818179E-3</v>
      </c>
      <c r="H57" s="294">
        <f t="shared" si="93"/>
        <v>6.8181818181818179E-3</v>
      </c>
      <c r="I57" s="294">
        <f t="shared" si="93"/>
        <v>6.8181818181818179E-3</v>
      </c>
      <c r="J57" s="294">
        <f t="shared" ref="J57:K57" si="94">(J54/2)</f>
        <v>6.8181818181818179E-3</v>
      </c>
      <c r="K57" s="294">
        <f t="shared" si="94"/>
        <v>6.8181818181818179E-3</v>
      </c>
    </row>
    <row r="58" spans="1:11" ht="14.5" hidden="1" outlineLevel="1">
      <c r="A58">
        <v>2</v>
      </c>
      <c r="B58" s="294">
        <f>B57+B54</f>
        <v>2.0454545454545454E-2</v>
      </c>
      <c r="C58" s="294">
        <f t="shared" ref="C58:I58" si="95">C57+C54</f>
        <v>2.0454545454545454E-2</v>
      </c>
      <c r="D58" s="294">
        <f t="shared" si="95"/>
        <v>2.0454545454545454E-2</v>
      </c>
      <c r="E58" s="294">
        <f t="shared" si="95"/>
        <v>2.0454545454545454E-2</v>
      </c>
      <c r="F58" s="294">
        <f t="shared" si="95"/>
        <v>2.0454545454545454E-2</v>
      </c>
      <c r="G58" s="294">
        <f t="shared" si="95"/>
        <v>2.0454545454545454E-2</v>
      </c>
      <c r="H58" s="294">
        <f t="shared" si="95"/>
        <v>2.0454545454545454E-2</v>
      </c>
      <c r="I58" s="294">
        <f t="shared" si="95"/>
        <v>2.0454545454545454E-2</v>
      </c>
      <c r="J58" s="294">
        <f t="shared" ref="J58" si="96">J57+J54</f>
        <v>2.0454545454545454E-2</v>
      </c>
      <c r="K58" s="294">
        <f t="shared" ref="K58" si="97">K57+K54</f>
        <v>2.0454545454545454E-2</v>
      </c>
    </row>
    <row r="59" spans="1:11" ht="14.5" hidden="1" outlineLevel="1">
      <c r="A59">
        <v>3</v>
      </c>
      <c r="B59" s="294">
        <f t="shared" ref="B59" si="98">B58+B$54</f>
        <v>3.4090909090909088E-2</v>
      </c>
      <c r="C59" s="294">
        <f t="shared" ref="C59:I59" si="99">C58+C$54</f>
        <v>3.4090909090909088E-2</v>
      </c>
      <c r="D59" s="294">
        <f t="shared" si="99"/>
        <v>3.4090909090909088E-2</v>
      </c>
      <c r="E59" s="294">
        <f t="shared" si="99"/>
        <v>3.4090909090909088E-2</v>
      </c>
      <c r="F59" s="294">
        <f t="shared" si="99"/>
        <v>3.4090909090909088E-2</v>
      </c>
      <c r="G59" s="294">
        <f t="shared" si="99"/>
        <v>3.4090909090909088E-2</v>
      </c>
      <c r="H59" s="294">
        <f t="shared" si="99"/>
        <v>3.4090909090909088E-2</v>
      </c>
      <c r="I59" s="294">
        <f t="shared" si="99"/>
        <v>3.4090909090909088E-2</v>
      </c>
      <c r="J59" s="294">
        <f t="shared" ref="J59:K59" si="100">J58+J$54</f>
        <v>3.4090909090909088E-2</v>
      </c>
      <c r="K59" s="294">
        <f t="shared" si="100"/>
        <v>3.4090909090909088E-2</v>
      </c>
    </row>
    <row r="60" spans="1:11" ht="14.5" hidden="1" outlineLevel="1">
      <c r="A60">
        <v>4</v>
      </c>
      <c r="B60" s="294">
        <f t="shared" ref="B60:B67" si="101">B59+B$54</f>
        <v>4.7727272727272722E-2</v>
      </c>
      <c r="C60" s="294">
        <f t="shared" ref="C60:I60" si="102">C59+C$54</f>
        <v>4.7727272727272722E-2</v>
      </c>
      <c r="D60" s="294">
        <f t="shared" si="102"/>
        <v>4.7727272727272722E-2</v>
      </c>
      <c r="E60" s="294">
        <f t="shared" si="102"/>
        <v>4.7727272727272722E-2</v>
      </c>
      <c r="F60" s="294">
        <f t="shared" si="102"/>
        <v>4.7727272727272722E-2</v>
      </c>
      <c r="G60" s="294">
        <f t="shared" si="102"/>
        <v>4.7727272727272722E-2</v>
      </c>
      <c r="H60" s="294">
        <f t="shared" si="102"/>
        <v>4.7727272727272722E-2</v>
      </c>
      <c r="I60" s="294">
        <f t="shared" si="102"/>
        <v>4.7727272727272722E-2</v>
      </c>
      <c r="J60" s="294">
        <f t="shared" ref="J60:K60" si="103">J59+J$54</f>
        <v>4.7727272727272722E-2</v>
      </c>
      <c r="K60" s="294">
        <f t="shared" si="103"/>
        <v>4.7727272727272722E-2</v>
      </c>
    </row>
    <row r="61" spans="1:11" ht="14.5" hidden="1" outlineLevel="1">
      <c r="A61">
        <v>5</v>
      </c>
      <c r="B61" s="294">
        <f t="shared" si="101"/>
        <v>6.1363636363636356E-2</v>
      </c>
      <c r="C61" s="294">
        <f t="shared" ref="C61:I61" si="104">C60+C$54</f>
        <v>6.1363636363636356E-2</v>
      </c>
      <c r="D61" s="294">
        <f t="shared" si="104"/>
        <v>6.1363636363636356E-2</v>
      </c>
      <c r="E61" s="294">
        <f t="shared" si="104"/>
        <v>6.1363636363636356E-2</v>
      </c>
      <c r="F61" s="294">
        <f t="shared" si="104"/>
        <v>6.1363636363636356E-2</v>
      </c>
      <c r="G61" s="294">
        <f t="shared" si="104"/>
        <v>6.1363636363636356E-2</v>
      </c>
      <c r="H61" s="294">
        <f t="shared" si="104"/>
        <v>6.1363636363636356E-2</v>
      </c>
      <c r="I61" s="294">
        <f t="shared" si="104"/>
        <v>6.1363636363636356E-2</v>
      </c>
      <c r="J61" s="294">
        <f t="shared" ref="J61:K61" si="105">J60+J$54</f>
        <v>6.1363636363636356E-2</v>
      </c>
      <c r="K61" s="294">
        <f t="shared" si="105"/>
        <v>6.1363636363636356E-2</v>
      </c>
    </row>
    <row r="62" spans="1:11" ht="14.5" hidden="1" outlineLevel="1">
      <c r="A62">
        <v>6</v>
      </c>
      <c r="B62" s="294">
        <f t="shared" si="101"/>
        <v>7.4999999999999997E-2</v>
      </c>
      <c r="C62" s="294">
        <f t="shared" ref="C62:I62" si="106">C61+C$54</f>
        <v>7.4999999999999997E-2</v>
      </c>
      <c r="D62" s="294">
        <f t="shared" si="106"/>
        <v>7.4999999999999997E-2</v>
      </c>
      <c r="E62" s="294">
        <f t="shared" si="106"/>
        <v>7.4999999999999997E-2</v>
      </c>
      <c r="F62" s="294">
        <f t="shared" si="106"/>
        <v>7.4999999999999997E-2</v>
      </c>
      <c r="G62" s="294">
        <f t="shared" si="106"/>
        <v>7.4999999999999997E-2</v>
      </c>
      <c r="H62" s="294">
        <f t="shared" si="106"/>
        <v>7.4999999999999997E-2</v>
      </c>
      <c r="I62" s="294">
        <f t="shared" si="106"/>
        <v>7.4999999999999997E-2</v>
      </c>
      <c r="J62" s="294">
        <f t="shared" ref="J62:K62" si="107">J61+J$54</f>
        <v>7.4999999999999997E-2</v>
      </c>
      <c r="K62" s="294">
        <f t="shared" si="107"/>
        <v>7.4999999999999997E-2</v>
      </c>
    </row>
    <row r="63" spans="1:11" ht="14.5" hidden="1" outlineLevel="1">
      <c r="A63">
        <v>7</v>
      </c>
      <c r="B63" s="294">
        <f t="shared" si="101"/>
        <v>8.8636363636363638E-2</v>
      </c>
      <c r="C63" s="294">
        <f t="shared" ref="C63:I63" si="108">C62+C$54</f>
        <v>8.8636363636363638E-2</v>
      </c>
      <c r="D63" s="294">
        <f t="shared" si="108"/>
        <v>8.8636363636363638E-2</v>
      </c>
      <c r="E63" s="294">
        <f t="shared" si="108"/>
        <v>8.8636363636363638E-2</v>
      </c>
      <c r="F63" s="294">
        <f t="shared" si="108"/>
        <v>8.8636363636363638E-2</v>
      </c>
      <c r="G63" s="294">
        <f t="shared" si="108"/>
        <v>8.8636363636363638E-2</v>
      </c>
      <c r="H63" s="294">
        <f t="shared" si="108"/>
        <v>8.8636363636363638E-2</v>
      </c>
      <c r="I63" s="294">
        <f t="shared" si="108"/>
        <v>8.8636363636363638E-2</v>
      </c>
      <c r="J63" s="294">
        <f t="shared" ref="J63:K63" si="109">J62+J$54</f>
        <v>8.8636363636363638E-2</v>
      </c>
      <c r="K63" s="294">
        <f t="shared" si="109"/>
        <v>8.8636363636363638E-2</v>
      </c>
    </row>
    <row r="64" spans="1:11" ht="14.5" hidden="1" outlineLevel="1">
      <c r="A64">
        <v>8</v>
      </c>
      <c r="B64" s="294">
        <f t="shared" si="101"/>
        <v>0.10227272727272728</v>
      </c>
      <c r="C64" s="294">
        <f t="shared" ref="C64:I64" si="110">C63+C$54</f>
        <v>0.10227272727272728</v>
      </c>
      <c r="D64" s="294">
        <f t="shared" si="110"/>
        <v>0.10227272727272728</v>
      </c>
      <c r="E64" s="294">
        <f t="shared" si="110"/>
        <v>0.10227272727272728</v>
      </c>
      <c r="F64" s="294">
        <f t="shared" si="110"/>
        <v>0.10227272727272728</v>
      </c>
      <c r="G64" s="294">
        <f t="shared" si="110"/>
        <v>0.10227272727272728</v>
      </c>
      <c r="H64" s="294">
        <f t="shared" si="110"/>
        <v>0.10227272727272728</v>
      </c>
      <c r="I64" s="294">
        <f t="shared" si="110"/>
        <v>0.10227272727272728</v>
      </c>
      <c r="J64" s="294">
        <f t="shared" ref="J64:K64" si="111">J63+J$54</f>
        <v>0.10227272727272728</v>
      </c>
      <c r="K64" s="294">
        <f t="shared" si="111"/>
        <v>0.10227272727272728</v>
      </c>
    </row>
    <row r="65" spans="1:11" ht="14.5" hidden="1" outlineLevel="1">
      <c r="A65">
        <v>9</v>
      </c>
      <c r="B65" s="294">
        <f t="shared" si="101"/>
        <v>0.11590909090909092</v>
      </c>
      <c r="C65" s="294">
        <f t="shared" ref="C65:I65" si="112">C64+C$54</f>
        <v>0.11590909090909092</v>
      </c>
      <c r="D65" s="294">
        <f t="shared" si="112"/>
        <v>0.11590909090909092</v>
      </c>
      <c r="E65" s="294">
        <f t="shared" si="112"/>
        <v>0.11590909090909092</v>
      </c>
      <c r="F65" s="294">
        <f t="shared" si="112"/>
        <v>0.11590909090909092</v>
      </c>
      <c r="G65" s="294">
        <f t="shared" si="112"/>
        <v>0.11590909090909092</v>
      </c>
      <c r="H65" s="294">
        <f t="shared" si="112"/>
        <v>0.11590909090909092</v>
      </c>
      <c r="I65" s="294">
        <f t="shared" si="112"/>
        <v>0.11590909090909092</v>
      </c>
      <c r="J65" s="294">
        <f t="shared" ref="J65:K65" si="113">J64+J$54</f>
        <v>0.11590909090909092</v>
      </c>
      <c r="K65" s="294">
        <f t="shared" si="113"/>
        <v>0.11590909090909092</v>
      </c>
    </row>
    <row r="66" spans="1:11" ht="14.5" hidden="1" outlineLevel="1">
      <c r="A66">
        <v>10</v>
      </c>
      <c r="B66" s="294">
        <f t="shared" si="101"/>
        <v>0.12954545454545455</v>
      </c>
      <c r="C66" s="294">
        <f t="shared" ref="C66:I66" si="114">C65+C$54</f>
        <v>0.12954545454545455</v>
      </c>
      <c r="D66" s="294">
        <f t="shared" si="114"/>
        <v>0.12954545454545455</v>
      </c>
      <c r="E66" s="294">
        <f t="shared" si="114"/>
        <v>0.12954545454545455</v>
      </c>
      <c r="F66" s="294">
        <f t="shared" si="114"/>
        <v>0.12954545454545455</v>
      </c>
      <c r="G66" s="294">
        <f t="shared" si="114"/>
        <v>0.12954545454545455</v>
      </c>
      <c r="H66" s="294">
        <f t="shared" si="114"/>
        <v>0.12954545454545455</v>
      </c>
      <c r="I66" s="294">
        <f t="shared" si="114"/>
        <v>0.12954545454545455</v>
      </c>
      <c r="J66" s="294">
        <f t="shared" ref="J66:K66" si="115">J65+J$54</f>
        <v>0.12954545454545455</v>
      </c>
      <c r="K66" s="294">
        <f t="shared" si="115"/>
        <v>0.12954545454545455</v>
      </c>
    </row>
    <row r="67" spans="1:11" ht="14.5" hidden="1" outlineLevel="1">
      <c r="A67">
        <v>11</v>
      </c>
      <c r="B67" s="294">
        <f t="shared" si="101"/>
        <v>0.14318181818181819</v>
      </c>
      <c r="C67" s="294">
        <f t="shared" ref="C67:I67" si="116">C66+C$54</f>
        <v>0.14318181818181819</v>
      </c>
      <c r="D67" s="294">
        <f t="shared" si="116"/>
        <v>0.14318181818181819</v>
      </c>
      <c r="E67" s="294">
        <f t="shared" si="116"/>
        <v>0.14318181818181819</v>
      </c>
      <c r="F67" s="294">
        <f t="shared" si="116"/>
        <v>0.14318181818181819</v>
      </c>
      <c r="G67" s="294">
        <f t="shared" si="116"/>
        <v>0.14318181818181819</v>
      </c>
      <c r="H67" s="294">
        <f t="shared" si="116"/>
        <v>0.14318181818181819</v>
      </c>
      <c r="I67" s="294">
        <f t="shared" si="116"/>
        <v>0.14318181818181819</v>
      </c>
      <c r="J67" s="294">
        <f t="shared" ref="J67:K67" si="117">J66+J$54</f>
        <v>0.14318181818181819</v>
      </c>
      <c r="K67" s="294">
        <f t="shared" si="117"/>
        <v>0.14318181818181819</v>
      </c>
    </row>
    <row r="68" spans="1:11" ht="14.5" collapsed="1">
      <c r="A68" t="s">
        <v>381</v>
      </c>
      <c r="B68" s="294"/>
      <c r="C68" s="294"/>
      <c r="D68" s="294"/>
      <c r="E68" s="294"/>
      <c r="F68" s="294"/>
      <c r="G68" s="294"/>
      <c r="H68" s="294"/>
      <c r="I68" s="294"/>
      <c r="J68" s="294"/>
      <c r="K68" s="294"/>
    </row>
    <row r="69" spans="1:11" ht="14.5" hidden="1" outlineLevel="1">
      <c r="A69">
        <v>1</v>
      </c>
      <c r="B69" s="294">
        <f t="shared" ref="B69" si="118">(B57*B$55)+B$38</f>
        <v>0.14772727272727273</v>
      </c>
      <c r="C69" s="294">
        <f t="shared" ref="C69:I69" si="119">(C57*C$55)+C$38</f>
        <v>0.14772727272727273</v>
      </c>
      <c r="D69" s="294">
        <f t="shared" si="119"/>
        <v>0.14772727272727273</v>
      </c>
      <c r="E69" s="294">
        <f t="shared" si="119"/>
        <v>0.14772727272727273</v>
      </c>
      <c r="F69" s="294">
        <f t="shared" si="119"/>
        <v>0.14772727272727273</v>
      </c>
      <c r="G69" s="294">
        <f t="shared" si="119"/>
        <v>0.14772727272727273</v>
      </c>
      <c r="H69" s="294">
        <f t="shared" si="119"/>
        <v>0.14772727272727273</v>
      </c>
      <c r="I69" s="294">
        <f t="shared" si="119"/>
        <v>0.14772727272727273</v>
      </c>
      <c r="J69" s="294">
        <f t="shared" ref="J69:K69" si="120">(J57*J$55)+J$38</f>
        <v>0.14772727272727273</v>
      </c>
      <c r="K69" s="294">
        <f t="shared" si="120"/>
        <v>0.14772727272727273</v>
      </c>
    </row>
    <row r="70" spans="1:11" ht="14.5" hidden="1" outlineLevel="1">
      <c r="A70">
        <v>2</v>
      </c>
      <c r="B70" s="294">
        <f t="shared" ref="B70" si="121">(B58*B$55)+B$38</f>
        <v>0.14318181818181819</v>
      </c>
      <c r="C70" s="294">
        <f t="shared" ref="C70:I70" si="122">(C58*C$55)+C$38</f>
        <v>0.14318181818181819</v>
      </c>
      <c r="D70" s="294">
        <f t="shared" si="122"/>
        <v>0.14318181818181819</v>
      </c>
      <c r="E70" s="294">
        <f t="shared" si="122"/>
        <v>0.14318181818181819</v>
      </c>
      <c r="F70" s="294">
        <f t="shared" si="122"/>
        <v>0.14318181818181819</v>
      </c>
      <c r="G70" s="294">
        <f t="shared" si="122"/>
        <v>0.14318181818181819</v>
      </c>
      <c r="H70" s="294">
        <f t="shared" si="122"/>
        <v>0.14318181818181819</v>
      </c>
      <c r="I70" s="294">
        <f t="shared" si="122"/>
        <v>0.14318181818181819</v>
      </c>
      <c r="J70" s="294">
        <f t="shared" ref="J70:K70" si="123">(J58*J$55)+J$38</f>
        <v>0.14318181818181819</v>
      </c>
      <c r="K70" s="294">
        <f t="shared" si="123"/>
        <v>0.14318181818181819</v>
      </c>
    </row>
    <row r="71" spans="1:11" ht="14.5" hidden="1" outlineLevel="1">
      <c r="A71">
        <v>3</v>
      </c>
      <c r="B71" s="294">
        <f t="shared" ref="B71" si="124">(B59*B$55)+B$38</f>
        <v>0.13863636363636364</v>
      </c>
      <c r="C71" s="294">
        <f t="shared" ref="C71:I71" si="125">(C59*C$55)+C$38</f>
        <v>0.13863636363636364</v>
      </c>
      <c r="D71" s="294">
        <f t="shared" si="125"/>
        <v>0.13863636363636364</v>
      </c>
      <c r="E71" s="294">
        <f t="shared" si="125"/>
        <v>0.13863636363636364</v>
      </c>
      <c r="F71" s="294">
        <f t="shared" si="125"/>
        <v>0.13863636363636364</v>
      </c>
      <c r="G71" s="294">
        <f t="shared" si="125"/>
        <v>0.13863636363636364</v>
      </c>
      <c r="H71" s="294">
        <f t="shared" si="125"/>
        <v>0.13863636363636364</v>
      </c>
      <c r="I71" s="294">
        <f t="shared" si="125"/>
        <v>0.13863636363636364</v>
      </c>
      <c r="J71" s="294">
        <f t="shared" ref="J71:K71" si="126">(J59*J$55)+J$38</f>
        <v>0.13863636363636364</v>
      </c>
      <c r="K71" s="294">
        <f t="shared" si="126"/>
        <v>0.13863636363636364</v>
      </c>
    </row>
    <row r="72" spans="1:11" ht="14.5" hidden="1" outlineLevel="1">
      <c r="A72">
        <v>4</v>
      </c>
      <c r="B72" s="294">
        <f t="shared" ref="B72" si="127">(B60*B$55)+B$38</f>
        <v>0.13409090909090909</v>
      </c>
      <c r="C72" s="294">
        <f t="shared" ref="C72:I72" si="128">(C60*C$55)+C$38</f>
        <v>0.13409090909090909</v>
      </c>
      <c r="D72" s="294">
        <f t="shared" si="128"/>
        <v>0.13409090909090909</v>
      </c>
      <c r="E72" s="294">
        <f t="shared" si="128"/>
        <v>0.13409090909090909</v>
      </c>
      <c r="F72" s="294">
        <f t="shared" si="128"/>
        <v>0.13409090909090909</v>
      </c>
      <c r="G72" s="294">
        <f t="shared" si="128"/>
        <v>0.13409090909090909</v>
      </c>
      <c r="H72" s="294">
        <f t="shared" si="128"/>
        <v>0.13409090909090909</v>
      </c>
      <c r="I72" s="294">
        <f t="shared" si="128"/>
        <v>0.13409090909090909</v>
      </c>
      <c r="J72" s="294">
        <f t="shared" ref="J72:K72" si="129">(J60*J$55)+J$38</f>
        <v>0.13409090909090909</v>
      </c>
      <c r="K72" s="294">
        <f t="shared" si="129"/>
        <v>0.13409090909090909</v>
      </c>
    </row>
    <row r="73" spans="1:11" ht="14.5" hidden="1" outlineLevel="1">
      <c r="A73">
        <v>5</v>
      </c>
      <c r="B73" s="294">
        <f t="shared" ref="B73" si="130">(B61*B$55)+B$38</f>
        <v>0.12954545454545455</v>
      </c>
      <c r="C73" s="294">
        <f t="shared" ref="C73:I73" si="131">(C61*C$55)+C$38</f>
        <v>0.12954545454545455</v>
      </c>
      <c r="D73" s="294">
        <f t="shared" si="131"/>
        <v>0.12954545454545455</v>
      </c>
      <c r="E73" s="294">
        <f t="shared" si="131"/>
        <v>0.12954545454545455</v>
      </c>
      <c r="F73" s="294">
        <f t="shared" si="131"/>
        <v>0.12954545454545455</v>
      </c>
      <c r="G73" s="294">
        <f t="shared" si="131"/>
        <v>0.12954545454545455</v>
      </c>
      <c r="H73" s="294">
        <f t="shared" si="131"/>
        <v>0.12954545454545455</v>
      </c>
      <c r="I73" s="294">
        <f t="shared" si="131"/>
        <v>0.12954545454545455</v>
      </c>
      <c r="J73" s="294">
        <f t="shared" ref="J73:K73" si="132">(J61*J$55)+J$38</f>
        <v>0.12954545454545455</v>
      </c>
      <c r="K73" s="294">
        <f t="shared" si="132"/>
        <v>0.12954545454545455</v>
      </c>
    </row>
    <row r="74" spans="1:11" ht="14.5" hidden="1" outlineLevel="1">
      <c r="A74">
        <v>6</v>
      </c>
      <c r="B74" s="294">
        <f t="shared" ref="B74" si="133">(B62*B$55)+B$38</f>
        <v>0.125</v>
      </c>
      <c r="C74" s="294">
        <f t="shared" ref="C74:I74" si="134">(C62*C$55)+C$38</f>
        <v>0.125</v>
      </c>
      <c r="D74" s="294">
        <f t="shared" si="134"/>
        <v>0.125</v>
      </c>
      <c r="E74" s="294">
        <f t="shared" si="134"/>
        <v>0.125</v>
      </c>
      <c r="F74" s="294">
        <f t="shared" si="134"/>
        <v>0.125</v>
      </c>
      <c r="G74" s="294">
        <f t="shared" si="134"/>
        <v>0.125</v>
      </c>
      <c r="H74" s="294">
        <f t="shared" si="134"/>
        <v>0.125</v>
      </c>
      <c r="I74" s="294">
        <f t="shared" si="134"/>
        <v>0.125</v>
      </c>
      <c r="J74" s="294">
        <f t="shared" ref="J74:K74" si="135">(J62*J$55)+J$38</f>
        <v>0.125</v>
      </c>
      <c r="K74" s="294">
        <f t="shared" si="135"/>
        <v>0.125</v>
      </c>
    </row>
    <row r="75" spans="1:11" ht="14.5" hidden="1" outlineLevel="1">
      <c r="A75">
        <v>7</v>
      </c>
      <c r="B75" s="294">
        <f t="shared" ref="B75" si="136">(B63*B$55)+B$38</f>
        <v>0.12045454545454545</v>
      </c>
      <c r="C75" s="294">
        <f t="shared" ref="C75:I75" si="137">(C63*C$55)+C$38</f>
        <v>0.12045454545454545</v>
      </c>
      <c r="D75" s="294">
        <f t="shared" si="137"/>
        <v>0.12045454545454545</v>
      </c>
      <c r="E75" s="294">
        <f t="shared" si="137"/>
        <v>0.12045454545454545</v>
      </c>
      <c r="F75" s="294">
        <f t="shared" si="137"/>
        <v>0.12045454545454545</v>
      </c>
      <c r="G75" s="294">
        <f t="shared" si="137"/>
        <v>0.12045454545454545</v>
      </c>
      <c r="H75" s="294">
        <f t="shared" si="137"/>
        <v>0.12045454545454545</v>
      </c>
      <c r="I75" s="294">
        <f t="shared" si="137"/>
        <v>0.12045454545454545</v>
      </c>
      <c r="J75" s="294">
        <f t="shared" ref="J75:K75" si="138">(J63*J$55)+J$38</f>
        <v>0.12045454545454545</v>
      </c>
      <c r="K75" s="294">
        <f t="shared" si="138"/>
        <v>0.12045454545454545</v>
      </c>
    </row>
    <row r="76" spans="1:11" ht="14.5" hidden="1" outlineLevel="1">
      <c r="A76">
        <v>8</v>
      </c>
      <c r="B76" s="294">
        <f t="shared" ref="B76" si="139">(B64*B$55)+B$38</f>
        <v>0.11590909090909091</v>
      </c>
      <c r="C76" s="294">
        <f t="shared" ref="C76:I76" si="140">(C64*C$55)+C$38</f>
        <v>0.11590909090909091</v>
      </c>
      <c r="D76" s="294">
        <f t="shared" si="140"/>
        <v>0.11590909090909091</v>
      </c>
      <c r="E76" s="294">
        <f t="shared" si="140"/>
        <v>0.11590909090909091</v>
      </c>
      <c r="F76" s="294">
        <f t="shared" si="140"/>
        <v>0.11590909090909091</v>
      </c>
      <c r="G76" s="294">
        <f t="shared" si="140"/>
        <v>0.11590909090909091</v>
      </c>
      <c r="H76" s="294">
        <f t="shared" si="140"/>
        <v>0.11590909090909091</v>
      </c>
      <c r="I76" s="294">
        <f t="shared" si="140"/>
        <v>0.11590909090909091</v>
      </c>
      <c r="J76" s="294">
        <f t="shared" ref="J76:K76" si="141">(J64*J$55)+J$38</f>
        <v>0.11590909090909091</v>
      </c>
      <c r="K76" s="294">
        <f t="shared" si="141"/>
        <v>0.11590909090909091</v>
      </c>
    </row>
    <row r="77" spans="1:11" ht="14.5" hidden="1" outlineLevel="1">
      <c r="A77">
        <v>9</v>
      </c>
      <c r="B77" s="294">
        <f t="shared" ref="B77" si="142">(B65*B$55)+B$38</f>
        <v>0.11136363636363636</v>
      </c>
      <c r="C77" s="294">
        <f t="shared" ref="C77:I77" si="143">(C65*C$55)+C$38</f>
        <v>0.11136363636363636</v>
      </c>
      <c r="D77" s="294">
        <f t="shared" si="143"/>
        <v>0.11136363636363636</v>
      </c>
      <c r="E77" s="294">
        <f t="shared" si="143"/>
        <v>0.11136363636363636</v>
      </c>
      <c r="F77" s="294">
        <f t="shared" si="143"/>
        <v>0.11136363636363636</v>
      </c>
      <c r="G77" s="294">
        <f t="shared" si="143"/>
        <v>0.11136363636363636</v>
      </c>
      <c r="H77" s="294">
        <f t="shared" si="143"/>
        <v>0.11136363636363636</v>
      </c>
      <c r="I77" s="294">
        <f t="shared" si="143"/>
        <v>0.11136363636363636</v>
      </c>
      <c r="J77" s="294">
        <f t="shared" ref="J77:K77" si="144">(J65*J$55)+J$38</f>
        <v>0.11136363636363636</v>
      </c>
      <c r="K77" s="294">
        <f t="shared" si="144"/>
        <v>0.11136363636363636</v>
      </c>
    </row>
    <row r="78" spans="1:11" ht="14.5" hidden="1" outlineLevel="1">
      <c r="A78">
        <v>10</v>
      </c>
      <c r="B78" s="294">
        <f t="shared" ref="B78" si="145">(B66*B$55)+B$38</f>
        <v>0.10681818181818181</v>
      </c>
      <c r="C78" s="294">
        <f t="shared" ref="C78:I78" si="146">(C66*C$55)+C$38</f>
        <v>0.10681818181818181</v>
      </c>
      <c r="D78" s="294">
        <f t="shared" si="146"/>
        <v>0.10681818181818181</v>
      </c>
      <c r="E78" s="294">
        <f t="shared" si="146"/>
        <v>0.10681818181818181</v>
      </c>
      <c r="F78" s="294">
        <f t="shared" si="146"/>
        <v>0.10681818181818181</v>
      </c>
      <c r="G78" s="294">
        <f t="shared" si="146"/>
        <v>0.10681818181818181</v>
      </c>
      <c r="H78" s="294">
        <f t="shared" si="146"/>
        <v>0.10681818181818181</v>
      </c>
      <c r="I78" s="294">
        <f t="shared" si="146"/>
        <v>0.10681818181818181</v>
      </c>
      <c r="J78" s="294">
        <f t="shared" ref="J78:K78" si="147">(J66*J$55)+J$38</f>
        <v>0.10681818181818181</v>
      </c>
      <c r="K78" s="294">
        <f t="shared" si="147"/>
        <v>0.10681818181818181</v>
      </c>
    </row>
    <row r="79" spans="1:11" ht="14.5" hidden="1" outlineLevel="1">
      <c r="A79">
        <v>11</v>
      </c>
      <c r="B79" s="294">
        <f t="shared" ref="B79" si="148">(B67*B$55)+B$38</f>
        <v>0.10227272727272727</v>
      </c>
      <c r="C79" s="294">
        <f t="shared" ref="C79:I79" si="149">(C67*C$55)+C$38</f>
        <v>0.10227272727272727</v>
      </c>
      <c r="D79" s="294">
        <f t="shared" si="149"/>
        <v>0.10227272727272727</v>
      </c>
      <c r="E79" s="294">
        <f t="shared" si="149"/>
        <v>0.10227272727272727</v>
      </c>
      <c r="F79" s="294">
        <f t="shared" si="149"/>
        <v>0.10227272727272727</v>
      </c>
      <c r="G79" s="294">
        <f t="shared" si="149"/>
        <v>0.10227272727272727</v>
      </c>
      <c r="H79" s="294">
        <f t="shared" si="149"/>
        <v>0.10227272727272727</v>
      </c>
      <c r="I79" s="294">
        <f t="shared" si="149"/>
        <v>0.10227272727272727</v>
      </c>
      <c r="J79" s="294">
        <f t="shared" ref="J79:K79" si="150">(J67*J$55)+J$38</f>
        <v>0.10227272727272727</v>
      </c>
      <c r="K79" s="294">
        <f t="shared" si="150"/>
        <v>0.10227272727272727</v>
      </c>
    </row>
    <row r="80" spans="1:11" ht="14.5" collapsed="1">
      <c r="A80" t="s">
        <v>382</v>
      </c>
      <c r="B80" s="294"/>
      <c r="C80" s="294"/>
      <c r="D80" s="294"/>
      <c r="E80" s="294"/>
      <c r="F80" s="294"/>
      <c r="G80" s="294"/>
      <c r="H80" s="294"/>
      <c r="I80" s="294"/>
      <c r="J80" s="294"/>
      <c r="K80" s="294"/>
    </row>
    <row r="81" spans="1:11" ht="14.5" hidden="1" outlineLevel="1">
      <c r="A81">
        <v>1</v>
      </c>
      <c r="B81" s="295">
        <f t="shared" ref="B81" si="151">(B69+B70)*B$54/2</f>
        <v>1.9834710743801649E-3</v>
      </c>
      <c r="C81" s="295">
        <f t="shared" ref="C81:I81" si="152">(C69+C70)*C$54/2</f>
        <v>1.9834710743801649E-3</v>
      </c>
      <c r="D81" s="295">
        <f t="shared" si="152"/>
        <v>1.9834710743801649E-3</v>
      </c>
      <c r="E81" s="295">
        <f t="shared" si="152"/>
        <v>1.9834710743801649E-3</v>
      </c>
      <c r="F81" s="295">
        <f t="shared" si="152"/>
        <v>1.9834710743801649E-3</v>
      </c>
      <c r="G81" s="295">
        <f t="shared" si="152"/>
        <v>1.9834710743801649E-3</v>
      </c>
      <c r="H81" s="295">
        <f t="shared" si="152"/>
        <v>1.9834710743801649E-3</v>
      </c>
      <c r="I81" s="295">
        <f t="shared" si="152"/>
        <v>1.9834710743801649E-3</v>
      </c>
      <c r="J81" s="295">
        <f t="shared" ref="J81:K81" si="153">(J69+J70)*J$54/2</f>
        <v>1.9834710743801649E-3</v>
      </c>
      <c r="K81" s="295">
        <f t="shared" si="153"/>
        <v>1.9834710743801649E-3</v>
      </c>
    </row>
    <row r="82" spans="1:11" ht="14.5" hidden="1" outlineLevel="1">
      <c r="A82">
        <v>2</v>
      </c>
      <c r="B82" s="295">
        <f t="shared" ref="B82:B89" si="154">(B70+B71)*B$54/2</f>
        <v>1.9214876033057853E-3</v>
      </c>
      <c r="C82" s="295">
        <f t="shared" ref="C82:I82" si="155">(C70+C71)*C$54/2</f>
        <v>1.9214876033057853E-3</v>
      </c>
      <c r="D82" s="295">
        <f t="shared" si="155"/>
        <v>1.9214876033057853E-3</v>
      </c>
      <c r="E82" s="295">
        <f t="shared" si="155"/>
        <v>1.9214876033057853E-3</v>
      </c>
      <c r="F82" s="295">
        <f t="shared" si="155"/>
        <v>1.9214876033057853E-3</v>
      </c>
      <c r="G82" s="295">
        <f t="shared" si="155"/>
        <v>1.9214876033057853E-3</v>
      </c>
      <c r="H82" s="295">
        <f t="shared" si="155"/>
        <v>1.9214876033057853E-3</v>
      </c>
      <c r="I82" s="295">
        <f t="shared" si="155"/>
        <v>1.9214876033057853E-3</v>
      </c>
      <c r="J82" s="295">
        <f t="shared" ref="J82:K82" si="156">(J70+J71)*J$54/2</f>
        <v>1.9214876033057853E-3</v>
      </c>
      <c r="K82" s="295">
        <f t="shared" si="156"/>
        <v>1.9214876033057853E-3</v>
      </c>
    </row>
    <row r="83" spans="1:11" ht="14.5" hidden="1" outlineLevel="1">
      <c r="A83">
        <v>3</v>
      </c>
      <c r="B83" s="295">
        <f t="shared" si="154"/>
        <v>1.8595041322314048E-3</v>
      </c>
      <c r="C83" s="295">
        <f t="shared" ref="C83:I83" si="157">(C71+C72)*C$54/2</f>
        <v>1.8595041322314048E-3</v>
      </c>
      <c r="D83" s="295">
        <f t="shared" si="157"/>
        <v>1.8595041322314048E-3</v>
      </c>
      <c r="E83" s="295">
        <f t="shared" si="157"/>
        <v>1.8595041322314048E-3</v>
      </c>
      <c r="F83" s="295">
        <f t="shared" si="157"/>
        <v>1.8595041322314048E-3</v>
      </c>
      <c r="G83" s="295">
        <f t="shared" si="157"/>
        <v>1.8595041322314048E-3</v>
      </c>
      <c r="H83" s="295">
        <f t="shared" si="157"/>
        <v>1.8595041322314048E-3</v>
      </c>
      <c r="I83" s="295">
        <f t="shared" si="157"/>
        <v>1.8595041322314048E-3</v>
      </c>
      <c r="J83" s="295">
        <f t="shared" ref="J83:K83" si="158">(J71+J72)*J$54/2</f>
        <v>1.8595041322314048E-3</v>
      </c>
      <c r="K83" s="295">
        <f t="shared" si="158"/>
        <v>1.8595041322314048E-3</v>
      </c>
    </row>
    <row r="84" spans="1:11" ht="14.5" hidden="1" outlineLevel="1">
      <c r="A84">
        <v>4</v>
      </c>
      <c r="B84" s="295">
        <f t="shared" si="154"/>
        <v>1.7975206611570249E-3</v>
      </c>
      <c r="C84" s="295">
        <f t="shared" ref="C84:I84" si="159">(C72+C73)*C$54/2</f>
        <v>1.7975206611570249E-3</v>
      </c>
      <c r="D84" s="295">
        <f t="shared" si="159"/>
        <v>1.7975206611570249E-3</v>
      </c>
      <c r="E84" s="295">
        <f t="shared" si="159"/>
        <v>1.7975206611570249E-3</v>
      </c>
      <c r="F84" s="295">
        <f t="shared" si="159"/>
        <v>1.7975206611570249E-3</v>
      </c>
      <c r="G84" s="295">
        <f t="shared" si="159"/>
        <v>1.7975206611570249E-3</v>
      </c>
      <c r="H84" s="295">
        <f t="shared" si="159"/>
        <v>1.7975206611570249E-3</v>
      </c>
      <c r="I84" s="295">
        <f t="shared" si="159"/>
        <v>1.7975206611570249E-3</v>
      </c>
      <c r="J84" s="295">
        <f t="shared" ref="J84:K84" si="160">(J72+J73)*J$54/2</f>
        <v>1.7975206611570249E-3</v>
      </c>
      <c r="K84" s="295">
        <f t="shared" si="160"/>
        <v>1.7975206611570249E-3</v>
      </c>
    </row>
    <row r="85" spans="1:11" ht="14.5" hidden="1" outlineLevel="1">
      <c r="A85">
        <v>5</v>
      </c>
      <c r="B85" s="295">
        <f t="shared" si="154"/>
        <v>1.7355371900826444E-3</v>
      </c>
      <c r="C85" s="295">
        <f t="shared" ref="C85:I85" si="161">(C73+C74)*C$54/2</f>
        <v>1.7355371900826444E-3</v>
      </c>
      <c r="D85" s="295">
        <f t="shared" si="161"/>
        <v>1.7355371900826444E-3</v>
      </c>
      <c r="E85" s="295">
        <f t="shared" si="161"/>
        <v>1.7355371900826444E-3</v>
      </c>
      <c r="F85" s="295">
        <f t="shared" si="161"/>
        <v>1.7355371900826444E-3</v>
      </c>
      <c r="G85" s="295">
        <f t="shared" si="161"/>
        <v>1.7355371900826444E-3</v>
      </c>
      <c r="H85" s="295">
        <f t="shared" si="161"/>
        <v>1.7355371900826444E-3</v>
      </c>
      <c r="I85" s="295">
        <f t="shared" si="161"/>
        <v>1.7355371900826444E-3</v>
      </c>
      <c r="J85" s="295">
        <f t="shared" ref="J85:K85" si="162">(J73+J74)*J$54/2</f>
        <v>1.7355371900826444E-3</v>
      </c>
      <c r="K85" s="295">
        <f t="shared" si="162"/>
        <v>1.7355371900826444E-3</v>
      </c>
    </row>
    <row r="86" spans="1:11" ht="14.5" hidden="1" outlineLevel="1">
      <c r="A86">
        <v>6</v>
      </c>
      <c r="B86" s="295">
        <f t="shared" si="154"/>
        <v>1.6735537190082643E-3</v>
      </c>
      <c r="C86" s="295">
        <f t="shared" ref="C86:I86" si="163">(C74+C75)*C$54/2</f>
        <v>1.6735537190082643E-3</v>
      </c>
      <c r="D86" s="295">
        <f t="shared" si="163"/>
        <v>1.6735537190082643E-3</v>
      </c>
      <c r="E86" s="295">
        <f t="shared" si="163"/>
        <v>1.6735537190082643E-3</v>
      </c>
      <c r="F86" s="295">
        <f t="shared" si="163"/>
        <v>1.6735537190082643E-3</v>
      </c>
      <c r="G86" s="295">
        <f t="shared" si="163"/>
        <v>1.6735537190082643E-3</v>
      </c>
      <c r="H86" s="295">
        <f t="shared" si="163"/>
        <v>1.6735537190082643E-3</v>
      </c>
      <c r="I86" s="295">
        <f t="shared" si="163"/>
        <v>1.6735537190082643E-3</v>
      </c>
      <c r="J86" s="295">
        <f t="shared" ref="J86:K86" si="164">(J74+J75)*J$54/2</f>
        <v>1.6735537190082643E-3</v>
      </c>
      <c r="K86" s="295">
        <f t="shared" si="164"/>
        <v>1.6735537190082643E-3</v>
      </c>
    </row>
    <row r="87" spans="1:11" ht="14.5" hidden="1" outlineLevel="1">
      <c r="A87">
        <v>7</v>
      </c>
      <c r="B87" s="295">
        <f t="shared" si="154"/>
        <v>1.6115702479338842E-3</v>
      </c>
      <c r="C87" s="295">
        <f t="shared" ref="C87:I87" si="165">(C75+C76)*C$54/2</f>
        <v>1.6115702479338842E-3</v>
      </c>
      <c r="D87" s="295">
        <f t="shared" si="165"/>
        <v>1.6115702479338842E-3</v>
      </c>
      <c r="E87" s="295">
        <f t="shared" si="165"/>
        <v>1.6115702479338842E-3</v>
      </c>
      <c r="F87" s="295">
        <f t="shared" si="165"/>
        <v>1.6115702479338842E-3</v>
      </c>
      <c r="G87" s="295">
        <f t="shared" si="165"/>
        <v>1.6115702479338842E-3</v>
      </c>
      <c r="H87" s="295">
        <f t="shared" si="165"/>
        <v>1.6115702479338842E-3</v>
      </c>
      <c r="I87" s="295">
        <f t="shared" si="165"/>
        <v>1.6115702479338842E-3</v>
      </c>
      <c r="J87" s="295">
        <f t="shared" ref="J87:K87" si="166">(J75+J76)*J$54/2</f>
        <v>1.6115702479338842E-3</v>
      </c>
      <c r="K87" s="295">
        <f t="shared" si="166"/>
        <v>1.6115702479338842E-3</v>
      </c>
    </row>
    <row r="88" spans="1:11" ht="14.5" hidden="1" outlineLevel="1">
      <c r="A88">
        <v>8</v>
      </c>
      <c r="B88" s="295">
        <f t="shared" si="154"/>
        <v>1.549586776859504E-3</v>
      </c>
      <c r="C88" s="295">
        <f t="shared" ref="C88:I88" si="167">(C76+C77)*C$54/2</f>
        <v>1.549586776859504E-3</v>
      </c>
      <c r="D88" s="295">
        <f t="shared" si="167"/>
        <v>1.549586776859504E-3</v>
      </c>
      <c r="E88" s="295">
        <f t="shared" si="167"/>
        <v>1.549586776859504E-3</v>
      </c>
      <c r="F88" s="295">
        <f t="shared" si="167"/>
        <v>1.549586776859504E-3</v>
      </c>
      <c r="G88" s="295">
        <f t="shared" si="167"/>
        <v>1.549586776859504E-3</v>
      </c>
      <c r="H88" s="295">
        <f t="shared" si="167"/>
        <v>1.549586776859504E-3</v>
      </c>
      <c r="I88" s="295">
        <f t="shared" si="167"/>
        <v>1.549586776859504E-3</v>
      </c>
      <c r="J88" s="295">
        <f t="shared" ref="J88:K88" si="168">(J76+J77)*J$54/2</f>
        <v>1.549586776859504E-3</v>
      </c>
      <c r="K88" s="295">
        <f t="shared" si="168"/>
        <v>1.549586776859504E-3</v>
      </c>
    </row>
    <row r="89" spans="1:11" ht="14.5" hidden="1" outlineLevel="1">
      <c r="A89">
        <v>9</v>
      </c>
      <c r="B89" s="295">
        <f t="shared" si="154"/>
        <v>1.4876033057851239E-3</v>
      </c>
      <c r="C89" s="295">
        <f t="shared" ref="C89:I89" si="169">(C77+C78)*C$54/2</f>
        <v>1.4876033057851239E-3</v>
      </c>
      <c r="D89" s="295">
        <f t="shared" si="169"/>
        <v>1.4876033057851239E-3</v>
      </c>
      <c r="E89" s="295">
        <f t="shared" si="169"/>
        <v>1.4876033057851239E-3</v>
      </c>
      <c r="F89" s="295">
        <f t="shared" si="169"/>
        <v>1.4876033057851239E-3</v>
      </c>
      <c r="G89" s="295">
        <f t="shared" si="169"/>
        <v>1.4876033057851239E-3</v>
      </c>
      <c r="H89" s="295">
        <f t="shared" si="169"/>
        <v>1.4876033057851239E-3</v>
      </c>
      <c r="I89" s="295">
        <f t="shared" si="169"/>
        <v>1.4876033057851239E-3</v>
      </c>
      <c r="J89" s="295">
        <f t="shared" ref="J89:K89" si="170">(J77+J78)*J$54/2</f>
        <v>1.4876033057851239E-3</v>
      </c>
      <c r="K89" s="295">
        <f t="shared" si="170"/>
        <v>1.4876033057851239E-3</v>
      </c>
    </row>
    <row r="90" spans="1:11" ht="14.5" hidden="1" outlineLevel="1">
      <c r="A90">
        <v>10</v>
      </c>
      <c r="B90" s="295">
        <f>(B78+B79)*B$54/2</f>
        <v>1.4256198347107436E-3</v>
      </c>
      <c r="C90" s="295">
        <f t="shared" ref="C90:I90" si="171">(C78+C79)*C$54/2</f>
        <v>1.4256198347107436E-3</v>
      </c>
      <c r="D90" s="295">
        <f t="shared" si="171"/>
        <v>1.4256198347107436E-3</v>
      </c>
      <c r="E90" s="295">
        <f t="shared" si="171"/>
        <v>1.4256198347107436E-3</v>
      </c>
      <c r="F90" s="295">
        <f t="shared" si="171"/>
        <v>1.4256198347107436E-3</v>
      </c>
      <c r="G90" s="295">
        <f t="shared" si="171"/>
        <v>1.4256198347107436E-3</v>
      </c>
      <c r="H90" s="295">
        <f t="shared" si="171"/>
        <v>1.4256198347107436E-3</v>
      </c>
      <c r="I90" s="295">
        <f t="shared" si="171"/>
        <v>1.4256198347107436E-3</v>
      </c>
      <c r="J90" s="295">
        <f t="shared" ref="J90:K90" si="172">(J78+J79)*J$54/2</f>
        <v>1.4256198347107436E-3</v>
      </c>
      <c r="K90" s="295">
        <f t="shared" si="172"/>
        <v>1.4256198347107436E-3</v>
      </c>
    </row>
    <row r="91" spans="1:11" ht="14.5" collapsed="1">
      <c r="A91" t="s">
        <v>577</v>
      </c>
      <c r="B91" s="294">
        <f>SUM(B81:B90)</f>
        <v>1.7045454545454544E-2</v>
      </c>
      <c r="C91" s="294">
        <f t="shared" ref="C91:I91" si="173">SUM(C81:C90)</f>
        <v>1.7045454545454544E-2</v>
      </c>
      <c r="D91" s="294">
        <f t="shared" si="173"/>
        <v>1.7045454545454544E-2</v>
      </c>
      <c r="E91" s="294">
        <f t="shared" si="173"/>
        <v>1.7045454545454544E-2</v>
      </c>
      <c r="F91" s="294">
        <f t="shared" si="173"/>
        <v>1.7045454545454544E-2</v>
      </c>
      <c r="G91" s="294">
        <f t="shared" si="173"/>
        <v>1.7045454545454544E-2</v>
      </c>
      <c r="H91" s="294">
        <f t="shared" si="173"/>
        <v>1.7045454545454544E-2</v>
      </c>
      <c r="I91" s="294">
        <f t="shared" si="173"/>
        <v>1.7045454545454544E-2</v>
      </c>
      <c r="J91" s="294">
        <f t="shared" ref="J91" si="174">SUM(J81:J90)</f>
        <v>1.7045454545454544E-2</v>
      </c>
      <c r="K91" s="294">
        <f t="shared" ref="K91" si="175">SUM(K81:K90)</f>
        <v>1.7045454545454544E-2</v>
      </c>
    </row>
    <row r="92" spans="1:11" ht="14.5">
      <c r="A92" s="298" t="s">
        <v>383</v>
      </c>
    </row>
    <row r="93" spans="1:11" s="198" customFormat="1" ht="14.5">
      <c r="A93" s="198" t="s">
        <v>384</v>
      </c>
      <c r="B93" s="321">
        <f>IF(B7&lt;1,(B95/(B96+B97))/SQRT(1-B7^2),(B95/(B96+B97))/SQRT(1-0.99^2))</f>
        <v>1.7811871342984904</v>
      </c>
      <c r="C93" s="321">
        <f t="shared" ref="C93:I93" si="176">IF(C7&lt;1,(C95/(C96+C97))/SQRT(1-C7^2),(C95/(C96+C97))/SQRT(1-0.99^2))</f>
        <v>1.7869352319645568</v>
      </c>
      <c r="D93" s="321">
        <f t="shared" si="176"/>
        <v>1.8638274893064417</v>
      </c>
      <c r="E93" s="321">
        <f t="shared" si="176"/>
        <v>2.0530322770652725</v>
      </c>
      <c r="F93" s="321">
        <f t="shared" si="176"/>
        <v>2.4896673326889589</v>
      </c>
      <c r="G93" s="321">
        <f t="shared" si="176"/>
        <v>12.603752627757395</v>
      </c>
      <c r="H93" s="321">
        <f t="shared" si="176"/>
        <v>12.603752627757395</v>
      </c>
      <c r="I93" s="321">
        <f t="shared" si="176"/>
        <v>12.603752627757395</v>
      </c>
      <c r="J93" s="321">
        <f t="shared" ref="J93:K93" si="177">IF(J7&lt;1,(J95/(J96+J97))/SQRT(1-J7^2),(J95/(J96+J97))/SQRT(1-0.99^2))</f>
        <v>12.603752627757395</v>
      </c>
      <c r="K93" s="321">
        <f t="shared" si="177"/>
        <v>12.603752627757395</v>
      </c>
    </row>
    <row r="94" spans="1:11" s="198" customFormat="1" ht="14.5">
      <c r="A94" s="198" t="s">
        <v>596</v>
      </c>
      <c r="B94" s="321">
        <f>IF(B6&lt;1,B93,IF(B6&gt;1,(4)/SQRT(B6^2-1),(4)/SQRT((1.01)^2-1)))</f>
        <v>1.7811871342984904</v>
      </c>
      <c r="C94" s="321">
        <f t="shared" ref="C94:I94" si="178">IF(C6&lt;1,C93,IF(C6&gt;1,(4)/SQRT(C6^2-1),(4)/SQRT((1.01)^2-1)))</f>
        <v>1.7869352319645568</v>
      </c>
      <c r="D94" s="321">
        <f t="shared" si="178"/>
        <v>1.8638274893064417</v>
      </c>
      <c r="E94" s="321">
        <f t="shared" si="178"/>
        <v>2.0530322770652725</v>
      </c>
      <c r="F94" s="321">
        <f t="shared" si="178"/>
        <v>2.4896673326889589</v>
      </c>
      <c r="G94" s="321">
        <f t="shared" si="178"/>
        <v>28.213824634343929</v>
      </c>
      <c r="H94" s="321">
        <f t="shared" si="178"/>
        <v>3.5777087639996634</v>
      </c>
      <c r="I94" s="321">
        <f t="shared" si="178"/>
        <v>2.3094010767585034</v>
      </c>
      <c r="J94" s="321">
        <f t="shared" ref="J94" si="179">IF(J6&lt;1,J93,IF(J6&gt;1,(4)/SQRT(J6^2-1),(4)/SQRT((1.01)^2-1)))</f>
        <v>1.4142135623730949</v>
      </c>
      <c r="K94" s="321">
        <f t="shared" ref="K94" si="180">IF(K6&lt;1,K93,IF(K6&gt;1,(4)/SQRT(K6^2-1),(4)/SQRT((1.01)^2-1)))</f>
        <v>0.81649658092772615</v>
      </c>
    </row>
    <row r="95" spans="1:11" ht="14.5" hidden="1" outlineLevel="1">
      <c r="A95" t="s">
        <v>385</v>
      </c>
      <c r="B95" s="222">
        <f>PI()*COS(RADIANS(B43))</f>
        <v>2.2214414690791831</v>
      </c>
      <c r="C95" s="222">
        <f t="shared" ref="C95:I95" si="181">PI()*COS(RADIANS(C43))</f>
        <v>2.2214414690791831</v>
      </c>
      <c r="D95" s="222">
        <f t="shared" si="181"/>
        <v>2.2214414690791831</v>
      </c>
      <c r="E95" s="222">
        <f t="shared" si="181"/>
        <v>2.2214414690791831</v>
      </c>
      <c r="F95" s="222">
        <f t="shared" si="181"/>
        <v>2.2214414690791831</v>
      </c>
      <c r="G95" s="222">
        <f t="shared" si="181"/>
        <v>2.2214414690791831</v>
      </c>
      <c r="H95" s="222">
        <f t="shared" si="181"/>
        <v>2.2214414690791831</v>
      </c>
      <c r="I95" s="222">
        <f t="shared" si="181"/>
        <v>2.2214414690791831</v>
      </c>
      <c r="J95" s="222">
        <f t="shared" ref="J95:K95" si="182">PI()*COS(RADIANS(J43))</f>
        <v>2.2214414690791831</v>
      </c>
      <c r="K95" s="222">
        <f t="shared" si="182"/>
        <v>2.2214414690791831</v>
      </c>
    </row>
    <row r="96" spans="1:11" ht="14.5" hidden="1" outlineLevel="1">
      <c r="A96" t="s">
        <v>386</v>
      </c>
      <c r="B96" s="222">
        <f>SQRT(1+((B95/(PI()*B51))^2))</f>
        <v>1.0248956925229649</v>
      </c>
      <c r="C96" s="222">
        <f t="shared" ref="C96:I96" si="183">SQRT(1+((C95/(PI()*C51))^2))</f>
        <v>1.0248956925229649</v>
      </c>
      <c r="D96" s="222">
        <f t="shared" si="183"/>
        <v>1.0248956925229649</v>
      </c>
      <c r="E96" s="222">
        <f t="shared" si="183"/>
        <v>1.0248956925229649</v>
      </c>
      <c r="F96" s="222">
        <f t="shared" si="183"/>
        <v>1.0248956925229649</v>
      </c>
      <c r="G96" s="222">
        <f t="shared" si="183"/>
        <v>1.0248956925229649</v>
      </c>
      <c r="H96" s="222">
        <f t="shared" si="183"/>
        <v>1.0248956925229649</v>
      </c>
      <c r="I96" s="222">
        <f t="shared" si="183"/>
        <v>1.0248956925229649</v>
      </c>
      <c r="J96" s="222">
        <f t="shared" ref="J96" si="184">SQRT(1+((J95/(PI()*J51))^2))</f>
        <v>1.0248956925229649</v>
      </c>
      <c r="K96" s="222">
        <f t="shared" ref="K96" si="185">SQRT(1+((K95/(PI()*K51))^2))</f>
        <v>1.0248956925229649</v>
      </c>
    </row>
    <row r="97" spans="1:11" ht="14.5" hidden="1" outlineLevel="1">
      <c r="A97" t="s">
        <v>387</v>
      </c>
      <c r="B97" s="222">
        <f>B95/(PI()*B51)</f>
        <v>0.22452434289432335</v>
      </c>
      <c r="C97" s="222">
        <f t="shared" ref="C97:I97" si="186">C95/(PI()*C51)</f>
        <v>0.22452434289432335</v>
      </c>
      <c r="D97" s="222">
        <f t="shared" si="186"/>
        <v>0.22452434289432335</v>
      </c>
      <c r="E97" s="222">
        <f t="shared" si="186"/>
        <v>0.22452434289432335</v>
      </c>
      <c r="F97" s="222">
        <f t="shared" si="186"/>
        <v>0.22452434289432335</v>
      </c>
      <c r="G97" s="222">
        <f t="shared" si="186"/>
        <v>0.22452434289432335</v>
      </c>
      <c r="H97" s="222">
        <f t="shared" si="186"/>
        <v>0.22452434289432335</v>
      </c>
      <c r="I97" s="222">
        <f t="shared" si="186"/>
        <v>0.22452434289432335</v>
      </c>
      <c r="J97" s="222">
        <f t="shared" ref="J97:K97" si="187">J95/(PI()*J51)</f>
        <v>0.22452434289432335</v>
      </c>
      <c r="K97" s="222">
        <f t="shared" si="187"/>
        <v>0.22452434289432335</v>
      </c>
    </row>
    <row r="98" spans="1:11" ht="14.5" hidden="1" outlineLevel="1"/>
    <row r="99" spans="1:11" ht="14.5" collapsed="1">
      <c r="A99" t="s">
        <v>388</v>
      </c>
      <c r="B99" s="217">
        <f>(B16*B3*B38)/B19</f>
        <v>197252.54389944818</v>
      </c>
      <c r="C99" s="217">
        <f t="shared" ref="C99:I99" si="188">(C16*C3*C38)/C19</f>
        <v>341245.90030331042</v>
      </c>
      <c r="D99" s="217">
        <f t="shared" si="188"/>
        <v>1023737.7009099312</v>
      </c>
      <c r="E99" s="217">
        <f t="shared" si="188"/>
        <v>1706229.5015165519</v>
      </c>
      <c r="F99" s="217">
        <f t="shared" si="188"/>
        <v>2388721.3021231727</v>
      </c>
      <c r="G99" s="217">
        <f t="shared" si="188"/>
        <v>3412459.0030331039</v>
      </c>
      <c r="H99" s="217">
        <f t="shared" si="188"/>
        <v>5118688.5045496561</v>
      </c>
      <c r="I99" s="217">
        <f t="shared" si="188"/>
        <v>6824918.0060662078</v>
      </c>
      <c r="J99" s="217">
        <f t="shared" ref="J99:K99" si="189">(J16*J3*J38)/J19</f>
        <v>10237377.009099312</v>
      </c>
      <c r="K99" s="217">
        <f t="shared" si="189"/>
        <v>17062295.015165523</v>
      </c>
    </row>
    <row r="100" spans="1:11" ht="14.5">
      <c r="A100" t="s">
        <v>389</v>
      </c>
      <c r="B100" s="217">
        <f>(B16*B3*B39)/B19</f>
        <v>13150169.593296546</v>
      </c>
      <c r="C100" s="217">
        <f t="shared" ref="C100:I100" si="190">(C16*C3*C39)/C19</f>
        <v>22749726.686887365</v>
      </c>
      <c r="D100" s="217">
        <f t="shared" si="190"/>
        <v>68249180.060662091</v>
      </c>
      <c r="E100" s="217">
        <f t="shared" si="190"/>
        <v>113748633.4344368</v>
      </c>
      <c r="F100" s="217">
        <f t="shared" si="190"/>
        <v>159248086.80821151</v>
      </c>
      <c r="G100" s="217">
        <f t="shared" si="190"/>
        <v>227497266.8688736</v>
      </c>
      <c r="H100" s="217">
        <f t="shared" si="190"/>
        <v>341245900.30331039</v>
      </c>
      <c r="I100" s="217">
        <f t="shared" si="190"/>
        <v>454994533.73774719</v>
      </c>
      <c r="J100" s="217">
        <f t="shared" ref="J100:K100" si="191">(J16*J3*J39)/J19</f>
        <v>682491800.60662079</v>
      </c>
      <c r="K100" s="217">
        <f t="shared" si="191"/>
        <v>1137486334.3443682</v>
      </c>
    </row>
    <row r="101" spans="1:11" s="307" customFormat="1" ht="14.5">
      <c r="A101" s="308" t="s">
        <v>573</v>
      </c>
      <c r="B101" s="310">
        <v>1.8564485158890635E-2</v>
      </c>
      <c r="C101" s="310">
        <v>1.0835747058992552E-3</v>
      </c>
      <c r="D101" s="310">
        <v>1.0835747058992552E-3</v>
      </c>
      <c r="E101" s="310">
        <v>1.0835747058992552E-3</v>
      </c>
      <c r="F101" s="310">
        <v>1.0835747058992552E-3</v>
      </c>
      <c r="G101" s="310">
        <v>1.0835747058992552E-3</v>
      </c>
      <c r="H101" s="310">
        <v>1.0835747058992552E-3</v>
      </c>
      <c r="I101" s="310">
        <v>1.0835747058992552E-3</v>
      </c>
      <c r="J101" s="310">
        <v>1.0835747058992552E-3</v>
      </c>
      <c r="K101" s="310">
        <v>1.0835747058992552E-3</v>
      </c>
    </row>
    <row r="102" spans="1:11" ht="14.5">
      <c r="A102" s="308" t="s">
        <v>574</v>
      </c>
      <c r="B102" s="217">
        <f>B101/1000</f>
        <v>1.8564485158890635E-5</v>
      </c>
      <c r="C102" s="217">
        <f t="shared" ref="C102:I102" si="192">C101/1000</f>
        <v>1.0835747058992552E-6</v>
      </c>
      <c r="D102" s="217">
        <f t="shared" si="192"/>
        <v>1.0835747058992552E-6</v>
      </c>
      <c r="E102" s="217">
        <f t="shared" si="192"/>
        <v>1.0835747058992552E-6</v>
      </c>
      <c r="F102" s="217">
        <f t="shared" si="192"/>
        <v>1.0835747058992552E-6</v>
      </c>
      <c r="G102" s="217">
        <f t="shared" si="192"/>
        <v>1.0835747058992552E-6</v>
      </c>
      <c r="H102" s="217">
        <f t="shared" si="192"/>
        <v>1.0835747058992552E-6</v>
      </c>
      <c r="I102" s="217">
        <f t="shared" si="192"/>
        <v>1.0835747058992552E-6</v>
      </c>
      <c r="J102" s="217">
        <f t="shared" ref="J102" si="193">J101/1000</f>
        <v>1.0835747058992552E-6</v>
      </c>
      <c r="K102" s="217">
        <f t="shared" ref="K102" si="194">K101/1000</f>
        <v>1.0835747058992552E-6</v>
      </c>
    </row>
    <row r="103" spans="1:11" ht="14.5">
      <c r="A103" t="s">
        <v>575</v>
      </c>
      <c r="B103" s="222">
        <f>(B102*B3)/B19</f>
        <v>19.94371307260672</v>
      </c>
      <c r="C103" s="222">
        <f t="shared" ref="C103:I103" si="195">(C102*C3)/C19</f>
        <v>2.0082038518447769</v>
      </c>
      <c r="D103" s="222">
        <f t="shared" si="195"/>
        <v>6.0246115555343307</v>
      </c>
      <c r="E103" s="222">
        <f t="shared" si="195"/>
        <v>10.041019259223885</v>
      </c>
      <c r="F103" s="222">
        <f t="shared" si="195"/>
        <v>14.057426962913439</v>
      </c>
      <c r="G103" s="222">
        <f t="shared" si="195"/>
        <v>20.082038518447771</v>
      </c>
      <c r="H103" s="222">
        <f t="shared" si="195"/>
        <v>30.123057777671651</v>
      </c>
      <c r="I103" s="222">
        <f t="shared" si="195"/>
        <v>40.164077036895542</v>
      </c>
      <c r="J103" s="222">
        <f t="shared" ref="J103" si="196">(J102*J3)/J19</f>
        <v>60.246115555343302</v>
      </c>
      <c r="K103" s="222">
        <f t="shared" ref="K103" si="197">(K102*K3)/K19</f>
        <v>100.41019259223886</v>
      </c>
    </row>
    <row r="104" spans="1:11" s="218" customFormat="1" ht="14.5">
      <c r="A104" s="305" t="s">
        <v>580</v>
      </c>
      <c r="B104" s="311">
        <f>B116</f>
        <v>0.99999999999999989</v>
      </c>
      <c r="C104" s="311">
        <f t="shared" ref="C104:I104" si="198">C116</f>
        <v>0.10069357920131253</v>
      </c>
      <c r="D104" s="311">
        <f t="shared" si="198"/>
        <v>0.30208073760393755</v>
      </c>
      <c r="E104" s="311">
        <f t="shared" si="198"/>
        <v>0.50346789600656272</v>
      </c>
      <c r="F104" s="311">
        <f t="shared" si="198"/>
        <v>0.70485505440918772</v>
      </c>
      <c r="G104" s="311">
        <f t="shared" si="198"/>
        <v>1.0069357920131254</v>
      </c>
      <c r="H104" s="311">
        <f t="shared" si="198"/>
        <v>1.5104036880196878</v>
      </c>
      <c r="I104" s="311">
        <f t="shared" si="198"/>
        <v>2.0138715840262509</v>
      </c>
      <c r="J104" s="311">
        <f t="shared" ref="J104:K104" si="199">J116</f>
        <v>3.0208073760393757</v>
      </c>
      <c r="K104" s="311">
        <f t="shared" si="199"/>
        <v>5.0346789600656265</v>
      </c>
    </row>
    <row r="105" spans="1:11" ht="14.5">
      <c r="A105" s="304" t="s">
        <v>612</v>
      </c>
      <c r="B105" s="222">
        <f>B38/$A110</f>
        <v>0.03</v>
      </c>
      <c r="C105" s="222">
        <f t="shared" ref="C105:I105" si="200">C38/$A110</f>
        <v>0.03</v>
      </c>
      <c r="D105" s="222">
        <f t="shared" si="200"/>
        <v>0.03</v>
      </c>
      <c r="E105" s="222">
        <f t="shared" si="200"/>
        <v>0.03</v>
      </c>
      <c r="F105" s="222">
        <f t="shared" si="200"/>
        <v>0.03</v>
      </c>
      <c r="G105" s="222">
        <f t="shared" si="200"/>
        <v>0.03</v>
      </c>
      <c r="H105" s="222">
        <f t="shared" si="200"/>
        <v>0.03</v>
      </c>
      <c r="I105" s="222">
        <f t="shared" si="200"/>
        <v>0.03</v>
      </c>
      <c r="J105" s="222">
        <f t="shared" ref="J105:K105" si="201">J38/$A110</f>
        <v>0.03</v>
      </c>
      <c r="K105" s="222">
        <f t="shared" si="201"/>
        <v>0.03</v>
      </c>
    </row>
    <row r="106" spans="1:11" ht="14.5" hidden="1" outlineLevel="1">
      <c r="A106">
        <v>1</v>
      </c>
      <c r="B106" s="217">
        <f>(B$16*B$3*($A106*B$105))/B$19</f>
        <v>39450.508779889642</v>
      </c>
      <c r="C106" s="217">
        <f t="shared" ref="C106:K110" si="202">(C$16*C$3*($A106*C$105))/C$19</f>
        <v>68249.180060662082</v>
      </c>
      <c r="D106" s="217">
        <f t="shared" si="202"/>
        <v>204747.54018198623</v>
      </c>
      <c r="E106" s="217">
        <f t="shared" si="202"/>
        <v>341245.90030331037</v>
      </c>
      <c r="F106" s="217">
        <f t="shared" si="202"/>
        <v>477744.26042463456</v>
      </c>
      <c r="G106" s="217">
        <f t="shared" si="202"/>
        <v>682491.80060662073</v>
      </c>
      <c r="H106" s="217">
        <f t="shared" si="202"/>
        <v>1023737.7009099312</v>
      </c>
      <c r="I106" s="217">
        <f t="shared" si="202"/>
        <v>1364983.6012132415</v>
      </c>
      <c r="J106" s="217">
        <f t="shared" si="202"/>
        <v>2047475.4018198624</v>
      </c>
      <c r="K106" s="217">
        <f t="shared" si="202"/>
        <v>3412459.0030331044</v>
      </c>
    </row>
    <row r="107" spans="1:11" ht="14.5" hidden="1" outlineLevel="1">
      <c r="A107">
        <v>2</v>
      </c>
      <c r="B107" s="217">
        <f>(B$16*B$3*($A107*B$105))/B$19</f>
        <v>78901.017559779284</v>
      </c>
      <c r="C107" s="217">
        <f t="shared" si="202"/>
        <v>136498.36012132416</v>
      </c>
      <c r="D107" s="217">
        <f t="shared" si="202"/>
        <v>409495.08036397246</v>
      </c>
      <c r="E107" s="217">
        <f t="shared" si="202"/>
        <v>682491.80060662073</v>
      </c>
      <c r="F107" s="217">
        <f t="shared" si="202"/>
        <v>955488.52084926912</v>
      </c>
      <c r="G107" s="217">
        <f t="shared" si="202"/>
        <v>1364983.6012132415</v>
      </c>
      <c r="H107" s="217">
        <f t="shared" si="202"/>
        <v>2047475.4018198624</v>
      </c>
      <c r="I107" s="217">
        <f t="shared" si="202"/>
        <v>2729967.2024264829</v>
      </c>
      <c r="J107" s="217">
        <f t="shared" si="202"/>
        <v>4094950.8036397249</v>
      </c>
      <c r="K107" s="217">
        <f t="shared" si="202"/>
        <v>6824918.0060662087</v>
      </c>
    </row>
    <row r="108" spans="1:11" ht="14.5" hidden="1" outlineLevel="1">
      <c r="A108">
        <v>3</v>
      </c>
      <c r="B108" s="217">
        <f>(B$16*B$3*($A108*B$105))/B$19</f>
        <v>118351.52633966893</v>
      </c>
      <c r="C108" s="217">
        <f t="shared" si="202"/>
        <v>204747.54018198623</v>
      </c>
      <c r="D108" s="217">
        <f t="shared" si="202"/>
        <v>614242.62054595875</v>
      </c>
      <c r="E108" s="217">
        <f t="shared" si="202"/>
        <v>1023737.7009099312</v>
      </c>
      <c r="F108" s="217">
        <f t="shared" si="202"/>
        <v>1433232.7812739036</v>
      </c>
      <c r="G108" s="217">
        <f t="shared" si="202"/>
        <v>2047475.4018198624</v>
      </c>
      <c r="H108" s="217">
        <f t="shared" si="202"/>
        <v>3071213.1027297936</v>
      </c>
      <c r="I108" s="217">
        <f t="shared" si="202"/>
        <v>4094950.8036397249</v>
      </c>
      <c r="J108" s="217">
        <f t="shared" si="202"/>
        <v>6142426.2054595873</v>
      </c>
      <c r="K108" s="217">
        <f t="shared" si="202"/>
        <v>10237377.009099314</v>
      </c>
    </row>
    <row r="109" spans="1:11" ht="14.5" hidden="1" outlineLevel="1">
      <c r="A109">
        <v>4</v>
      </c>
      <c r="B109" s="217">
        <f>(B$16*B$3*($A109*B$105))/B$19</f>
        <v>157802.03511955857</v>
      </c>
      <c r="C109" s="217">
        <f t="shared" si="202"/>
        <v>272996.72024264833</v>
      </c>
      <c r="D109" s="217">
        <f t="shared" si="202"/>
        <v>818990.16072794492</v>
      </c>
      <c r="E109" s="217">
        <f t="shared" si="202"/>
        <v>1364983.6012132415</v>
      </c>
      <c r="F109" s="217">
        <f t="shared" si="202"/>
        <v>1910977.0416985382</v>
      </c>
      <c r="G109" s="217">
        <f t="shared" si="202"/>
        <v>2729967.2024264829</v>
      </c>
      <c r="H109" s="217">
        <f t="shared" si="202"/>
        <v>4094950.8036397249</v>
      </c>
      <c r="I109" s="217">
        <f t="shared" si="202"/>
        <v>5459934.4048529658</v>
      </c>
      <c r="J109" s="217">
        <f t="shared" si="202"/>
        <v>8189901.6072794497</v>
      </c>
      <c r="K109" s="217">
        <f t="shared" si="202"/>
        <v>13649836.012132417</v>
      </c>
    </row>
    <row r="110" spans="1:11" ht="14.5" hidden="1" outlineLevel="1">
      <c r="A110">
        <v>5</v>
      </c>
      <c r="B110" s="217">
        <f>(B$16*B$3*($A110*B$105))/B$19</f>
        <v>197252.54389944818</v>
      </c>
      <c r="C110" s="217">
        <f t="shared" si="202"/>
        <v>341245.90030331042</v>
      </c>
      <c r="D110" s="217">
        <f t="shared" si="202"/>
        <v>1023737.7009099312</v>
      </c>
      <c r="E110" s="217">
        <f t="shared" si="202"/>
        <v>1706229.5015165519</v>
      </c>
      <c r="F110" s="217">
        <f t="shared" si="202"/>
        <v>2388721.3021231727</v>
      </c>
      <c r="G110" s="217">
        <f t="shared" si="202"/>
        <v>3412459.0030331039</v>
      </c>
      <c r="H110" s="217">
        <f t="shared" si="202"/>
        <v>5118688.5045496561</v>
      </c>
      <c r="I110" s="217">
        <f t="shared" si="202"/>
        <v>6824918.0060662078</v>
      </c>
      <c r="J110" s="217">
        <f t="shared" si="202"/>
        <v>10237377.009099312</v>
      </c>
      <c r="K110" s="217">
        <f t="shared" si="202"/>
        <v>17062295.015165523</v>
      </c>
    </row>
    <row r="111" spans="1:11" ht="14.5" collapsed="1">
      <c r="A111" s="304" t="s">
        <v>576</v>
      </c>
      <c r="B111" s="217"/>
      <c r="C111" s="217"/>
      <c r="D111" s="217"/>
      <c r="E111" s="217"/>
      <c r="F111" s="217"/>
      <c r="G111" s="217"/>
      <c r="H111" s="217"/>
      <c r="I111" s="217"/>
      <c r="J111" s="217"/>
      <c r="K111" s="217"/>
    </row>
    <row r="112" spans="1:11" ht="14.5" hidden="1" outlineLevel="1">
      <c r="A112">
        <v>1</v>
      </c>
      <c r="B112" s="217">
        <f>B$103*(SQRT(0.0576/(2*($B106^(1/5)))))</f>
        <v>1.1746189430880187</v>
      </c>
      <c r="C112" s="217">
        <f t="shared" ref="C112:I112" si="203">C$103*(SQRT(0.0576/(2*($B106^(1/5)))))</f>
        <v>0.11827658557719543</v>
      </c>
      <c r="D112" s="217">
        <f t="shared" si="203"/>
        <v>0.35482975673158629</v>
      </c>
      <c r="E112" s="217">
        <f t="shared" si="203"/>
        <v>0.59138292788597724</v>
      </c>
      <c r="F112" s="217">
        <f t="shared" si="203"/>
        <v>0.82793609904036813</v>
      </c>
      <c r="G112" s="217">
        <f t="shared" si="203"/>
        <v>1.1827658557719545</v>
      </c>
      <c r="H112" s="217">
        <f t="shared" si="203"/>
        <v>1.7741487836579313</v>
      </c>
      <c r="I112" s="217">
        <f t="shared" si="203"/>
        <v>2.365531711543909</v>
      </c>
      <c r="J112" s="217">
        <f t="shared" ref="J112:K112" si="204">J$103*(SQRT(0.0576/(2*($B106^(1/5)))))</f>
        <v>3.5482975673158625</v>
      </c>
      <c r="K112" s="217">
        <f t="shared" si="204"/>
        <v>5.9138292788597724</v>
      </c>
    </row>
    <row r="113" spans="1:11" ht="14.5" hidden="1" outlineLevel="1">
      <c r="A113">
        <v>2</v>
      </c>
      <c r="B113" s="217">
        <f t="shared" ref="B113:B116" si="205">B$103*(SQRT(0.0576/(2*($B107^(1/5)))))</f>
        <v>1.0959582263852172</v>
      </c>
      <c r="C113" s="217">
        <f t="shared" ref="C113:I113" si="206">C$103*(SQRT(0.0576/(2*($B107^(1/5)))))</f>
        <v>0.11035595646984987</v>
      </c>
      <c r="D113" s="217">
        <f t="shared" si="206"/>
        <v>0.33106786940954963</v>
      </c>
      <c r="E113" s="217">
        <f t="shared" si="206"/>
        <v>0.5517797823492494</v>
      </c>
      <c r="F113" s="217">
        <f t="shared" si="206"/>
        <v>0.77249169528894912</v>
      </c>
      <c r="G113" s="217">
        <f t="shared" si="206"/>
        <v>1.1035595646984988</v>
      </c>
      <c r="H113" s="217">
        <f t="shared" si="206"/>
        <v>1.655339347047748</v>
      </c>
      <c r="I113" s="217">
        <f t="shared" si="206"/>
        <v>2.2071191293969976</v>
      </c>
      <c r="J113" s="217">
        <f t="shared" ref="J113:K113" si="207">J$103*(SQRT(0.0576/(2*($B107^(1/5)))))</f>
        <v>3.310678694095496</v>
      </c>
      <c r="K113" s="217">
        <f t="shared" si="207"/>
        <v>5.5177978234924945</v>
      </c>
    </row>
    <row r="114" spans="1:11" ht="14.5" hidden="1" outlineLevel="1">
      <c r="A114">
        <v>3</v>
      </c>
      <c r="B114" s="217">
        <f t="shared" si="205"/>
        <v>1.0524097791489251</v>
      </c>
      <c r="C114" s="217">
        <f t="shared" ref="C114:I114" si="208">C$103*(SQRT(0.0576/(2*($B108^(1/5)))))</f>
        <v>0.10597090744896813</v>
      </c>
      <c r="D114" s="217">
        <f t="shared" si="208"/>
        <v>0.31791272234690438</v>
      </c>
      <c r="E114" s="217">
        <f t="shared" si="208"/>
        <v>0.52985453724484066</v>
      </c>
      <c r="F114" s="217">
        <f t="shared" si="208"/>
        <v>0.74179635214277695</v>
      </c>
      <c r="G114" s="217">
        <f t="shared" si="208"/>
        <v>1.0597090744896813</v>
      </c>
      <c r="H114" s="217">
        <f t="shared" si="208"/>
        <v>1.5895636117345218</v>
      </c>
      <c r="I114" s="217">
        <f t="shared" si="208"/>
        <v>2.1194181489793626</v>
      </c>
      <c r="J114" s="217">
        <f t="shared" ref="J114:K114" si="209">J$103*(SQRT(0.0576/(2*($B108^(1/5)))))</f>
        <v>3.1791272234690435</v>
      </c>
      <c r="K114" s="217">
        <f t="shared" si="209"/>
        <v>5.2985453724484071</v>
      </c>
    </row>
    <row r="115" spans="1:11" ht="14.5" hidden="1" outlineLevel="1">
      <c r="A115">
        <v>4</v>
      </c>
      <c r="B115" s="217">
        <f t="shared" si="205"/>
        <v>1.0225651825635729</v>
      </c>
      <c r="C115" s="217">
        <f t="shared" ref="C115:I115" si="210">C$103*(SQRT(0.0576/(2*($B109^(1/5)))))</f>
        <v>0.10296574819896973</v>
      </c>
      <c r="D115" s="217">
        <f t="shared" si="210"/>
        <v>0.3088972445969092</v>
      </c>
      <c r="E115" s="217">
        <f t="shared" si="210"/>
        <v>0.51482874099484865</v>
      </c>
      <c r="F115" s="217">
        <f t="shared" si="210"/>
        <v>0.72076023739278816</v>
      </c>
      <c r="G115" s="217">
        <f t="shared" si="210"/>
        <v>1.0296574819896973</v>
      </c>
      <c r="H115" s="217">
        <f t="shared" si="210"/>
        <v>1.5444862229845457</v>
      </c>
      <c r="I115" s="217">
        <f t="shared" si="210"/>
        <v>2.0593149639793946</v>
      </c>
      <c r="J115" s="217">
        <f t="shared" ref="J115:K115" si="211">J$103*(SQRT(0.0576/(2*($B109^(1/5)))))</f>
        <v>3.0889724459690915</v>
      </c>
      <c r="K115" s="217">
        <f t="shared" si="211"/>
        <v>5.1482874099484874</v>
      </c>
    </row>
    <row r="116" spans="1:11" ht="14.5" hidden="1" outlineLevel="1">
      <c r="A116">
        <v>5</v>
      </c>
      <c r="B116" s="217">
        <f t="shared" si="205"/>
        <v>0.99999999999999989</v>
      </c>
      <c r="C116" s="217">
        <f t="shared" ref="C116:I116" si="212">C$103*(SQRT(0.0576/(2*($B110^(1/5)))))</f>
        <v>0.10069357920131253</v>
      </c>
      <c r="D116" s="217">
        <f t="shared" si="212"/>
        <v>0.30208073760393755</v>
      </c>
      <c r="E116" s="217">
        <f t="shared" si="212"/>
        <v>0.50346789600656272</v>
      </c>
      <c r="F116" s="217">
        <f t="shared" si="212"/>
        <v>0.70485505440918772</v>
      </c>
      <c r="G116" s="217">
        <f t="shared" si="212"/>
        <v>1.0069357920131254</v>
      </c>
      <c r="H116" s="217">
        <f t="shared" si="212"/>
        <v>1.5104036880196878</v>
      </c>
      <c r="I116" s="217">
        <f t="shared" si="212"/>
        <v>2.0138715840262509</v>
      </c>
      <c r="J116" s="217">
        <f t="shared" ref="J116:K116" si="213">J$103*(SQRT(0.0576/(2*($B110^(1/5)))))</f>
        <v>3.0208073760393757</v>
      </c>
      <c r="K116" s="217">
        <f t="shared" si="213"/>
        <v>5.0346789600656265</v>
      </c>
    </row>
    <row r="117" spans="1:11" s="218" customFormat="1" ht="14.5" collapsed="1">
      <c r="A117" s="305" t="s">
        <v>579</v>
      </c>
      <c r="B117" s="311">
        <f>B123</f>
        <v>0.99983195461537211</v>
      </c>
      <c r="C117" s="311">
        <f t="shared" ref="C117:I117" si="214">C123</f>
        <v>0.10064661321757948</v>
      </c>
      <c r="D117" s="311">
        <f t="shared" si="214"/>
        <v>0.30082500105207111</v>
      </c>
      <c r="E117" s="311">
        <f t="shared" si="214"/>
        <v>0.49776468493298481</v>
      </c>
      <c r="F117" s="311">
        <f t="shared" si="214"/>
        <v>0.68963480542566613</v>
      </c>
      <c r="G117" s="311">
        <f t="shared" si="214"/>
        <v>0.96496810166095393</v>
      </c>
      <c r="H117" s="311">
        <f t="shared" si="214"/>
        <v>1.3848846732066717</v>
      </c>
      <c r="I117" s="311">
        <f t="shared" si="214"/>
        <v>1.7556002905898076</v>
      </c>
      <c r="J117" s="311">
        <f t="shared" ref="J117:K117" si="215">J123</f>
        <v>2.3752626118980853</v>
      </c>
      <c r="K117" s="311">
        <f t="shared" si="215"/>
        <v>3.3133969314461948</v>
      </c>
    </row>
    <row r="118" spans="1:11" ht="14.5">
      <c r="A118" s="304" t="s">
        <v>613</v>
      </c>
    </row>
    <row r="119" spans="1:11" ht="14.5" hidden="1" outlineLevel="1">
      <c r="A119">
        <v>1</v>
      </c>
      <c r="B119" s="217">
        <f>B112*SQRT((1+0.2*B$7^2)^(-0.467))</f>
        <v>1.1744215537959364</v>
      </c>
      <c r="C119" s="217">
        <f t="shared" ref="C119:I119" si="216">C112*SQRT((1+0.2*C$7^2)^(-0.467))</f>
        <v>0.11822141844302184</v>
      </c>
      <c r="D119" s="217">
        <f t="shared" si="216"/>
        <v>0.35335474479023593</v>
      </c>
      <c r="E119" s="217">
        <f t="shared" si="216"/>
        <v>0.58468382812252329</v>
      </c>
      <c r="F119" s="217">
        <f t="shared" si="216"/>
        <v>0.81005810626580743</v>
      </c>
      <c r="G119" s="217">
        <f t="shared" si="216"/>
        <v>1.1334698116866415</v>
      </c>
      <c r="H119" s="217">
        <f t="shared" si="216"/>
        <v>1.626711771140817</v>
      </c>
      <c r="I119" s="217">
        <f t="shared" si="216"/>
        <v>2.0621613578176183</v>
      </c>
      <c r="J119" s="217">
        <f t="shared" ref="J119:K119" si="217">J112*SQRT((1+0.2*J$7^2)^(-0.467))</f>
        <v>2.7900284587442155</v>
      </c>
      <c r="K119" s="217">
        <f t="shared" si="217"/>
        <v>3.8919788016464145</v>
      </c>
    </row>
    <row r="120" spans="1:11" ht="14.5" hidden="1" outlineLevel="1">
      <c r="A120">
        <v>2</v>
      </c>
      <c r="B120" s="217">
        <f t="shared" ref="B120:B122" si="218">B113*SQRT((1+0.2*B$7^2)^(-0.467))</f>
        <v>1.0957740556635283</v>
      </c>
      <c r="C120" s="217">
        <f t="shared" ref="C120:I120" si="219">C113*SQRT((1+0.2*C$7^2)^(-0.467))</f>
        <v>0.11030448371361737</v>
      </c>
      <c r="D120" s="217">
        <f t="shared" si="219"/>
        <v>0.329691634605359</v>
      </c>
      <c r="E120" s="217">
        <f t="shared" si="219"/>
        <v>0.54552930125635035</v>
      </c>
      <c r="F120" s="217">
        <f t="shared" si="219"/>
        <v>0.7558109382078273</v>
      </c>
      <c r="G120" s="217">
        <f t="shared" si="219"/>
        <v>1.0575647292146491</v>
      </c>
      <c r="H120" s="217">
        <f t="shared" si="219"/>
        <v>1.517775750195655</v>
      </c>
      <c r="I120" s="217">
        <f t="shared" si="219"/>
        <v>1.9240645807161774</v>
      </c>
      <c r="J120" s="217">
        <f t="shared" ref="J120:K120" si="220">J113*SQRT((1+0.2*J$7^2)^(-0.467))</f>
        <v>2.6031885993349437</v>
      </c>
      <c r="K120" s="217">
        <f t="shared" si="220"/>
        <v>3.6313446242979937</v>
      </c>
    </row>
    <row r="121" spans="1:11" ht="14.5" hidden="1" outlineLevel="1">
      <c r="A121">
        <v>3</v>
      </c>
      <c r="B121" s="217">
        <f t="shared" si="218"/>
        <v>1.0522329265428019</v>
      </c>
      <c r="C121" s="217">
        <f t="shared" ref="C121:I121" si="221">C114*SQRT((1+0.2*C$7^2)^(-0.467))</f>
        <v>0.10592147998840012</v>
      </c>
      <c r="D121" s="217">
        <f t="shared" si="221"/>
        <v>0.31659117291968536</v>
      </c>
      <c r="E121" s="217">
        <f t="shared" si="221"/>
        <v>0.52385242213845684</v>
      </c>
      <c r="F121" s="217">
        <f t="shared" si="221"/>
        <v>0.72577841327143733</v>
      </c>
      <c r="G121" s="217">
        <f t="shared" si="221"/>
        <v>1.015541866754762</v>
      </c>
      <c r="H121" s="217">
        <f t="shared" si="221"/>
        <v>1.4574661730761649</v>
      </c>
      <c r="I121" s="217">
        <f t="shared" si="221"/>
        <v>1.8476109140934081</v>
      </c>
      <c r="J121" s="217">
        <f t="shared" ref="J121:K121" si="222">J114*SQRT((1+0.2*J$7^2)^(-0.467))</f>
        <v>2.4997496008083631</v>
      </c>
      <c r="K121" s="217">
        <f t="shared" si="222"/>
        <v>3.4870513328560171</v>
      </c>
    </row>
    <row r="122" spans="1:11" ht="14.5" hidden="1" outlineLevel="1">
      <c r="A122">
        <v>4</v>
      </c>
      <c r="B122" s="217">
        <f t="shared" si="218"/>
        <v>1.022393345204162</v>
      </c>
      <c r="C122" s="217">
        <f t="shared" ref="C122:I122" si="223">C115*SQRT((1+0.2*C$7^2)^(-0.467))</f>
        <v>0.10291772241923947</v>
      </c>
      <c r="D122" s="217">
        <f t="shared" si="223"/>
        <v>0.30761317212049816</v>
      </c>
      <c r="E122" s="217">
        <f t="shared" si="223"/>
        <v>0.5089968359221968</v>
      </c>
      <c r="F122" s="217">
        <f t="shared" si="223"/>
        <v>0.70519654071229032</v>
      </c>
      <c r="G122" s="217">
        <f t="shared" si="223"/>
        <v>0.98674278304295759</v>
      </c>
      <c r="H122" s="217">
        <f t="shared" si="223"/>
        <v>1.4161348486870742</v>
      </c>
      <c r="I122" s="217">
        <f t="shared" si="223"/>
        <v>1.7952157316556279</v>
      </c>
      <c r="J122" s="217">
        <f t="shared" ref="J122:K122" si="224">J115*SQRT((1+0.2*J$7^2)^(-0.467))</f>
        <v>2.4288608463719941</v>
      </c>
      <c r="K122" s="217">
        <f t="shared" si="224"/>
        <v>3.3881643381098612</v>
      </c>
    </row>
    <row r="123" spans="1:11" ht="14.5" hidden="1" outlineLevel="1">
      <c r="A123">
        <v>5</v>
      </c>
      <c r="B123" s="217">
        <f>B116*SQRT((1+0.2*B$7^2)^(-0.467))</f>
        <v>0.99983195461537211</v>
      </c>
      <c r="C123" s="217">
        <f t="shared" ref="C123:I123" si="225">C116*SQRT((1+0.2*C$7^2)^(-0.467))</f>
        <v>0.10064661321757948</v>
      </c>
      <c r="D123" s="217">
        <f t="shared" si="225"/>
        <v>0.30082500105207111</v>
      </c>
      <c r="E123" s="217">
        <f t="shared" si="225"/>
        <v>0.49776468493298481</v>
      </c>
      <c r="F123" s="217">
        <f t="shared" si="225"/>
        <v>0.68963480542566613</v>
      </c>
      <c r="G123" s="217">
        <f t="shared" si="225"/>
        <v>0.96496810166095393</v>
      </c>
      <c r="H123" s="217">
        <f t="shared" si="225"/>
        <v>1.3848846732066717</v>
      </c>
      <c r="I123" s="217">
        <f t="shared" si="225"/>
        <v>1.7556002905898076</v>
      </c>
      <c r="J123" s="217">
        <f t="shared" ref="J123:K123" si="226">J116*SQRT((1+0.2*J$7^2)^(-0.467))</f>
        <v>2.3752626118980853</v>
      </c>
      <c r="K123" s="217">
        <f t="shared" si="226"/>
        <v>3.3133969314461948</v>
      </c>
    </row>
    <row r="124" spans="1:11" ht="14.5" collapsed="1"/>
    <row r="125" spans="1:11" s="218" customFormat="1" ht="14.5">
      <c r="A125" s="325" t="s">
        <v>614</v>
      </c>
      <c r="B125" s="311"/>
      <c r="C125" s="311"/>
      <c r="D125" s="311"/>
      <c r="E125" s="311"/>
      <c r="F125" s="311"/>
      <c r="G125" s="311"/>
      <c r="H125" s="311"/>
      <c r="I125" s="311"/>
      <c r="J125" s="311"/>
      <c r="K125" s="311"/>
    </row>
    <row r="126" spans="1:11" ht="14.5"/>
    <row r="127" spans="1:11" ht="15" customHeight="1">
      <c r="A127" s="298" t="s">
        <v>603</v>
      </c>
    </row>
    <row r="128" spans="1:11" s="299" customFormat="1" ht="15" customHeight="1">
      <c r="A128" s="303" t="s">
        <v>390</v>
      </c>
      <c r="B128" s="309">
        <f>IF(B6&lt;1,B93*RADIANS(B9),B94*RADIANS(B9))</f>
        <v>0.46631370131506611</v>
      </c>
      <c r="C128" s="309">
        <f t="shared" ref="C128:I128" si="227">IF(C6&lt;1,C93*RADIANS(C9),C94*RADIANS(C9))</f>
        <v>0</v>
      </c>
      <c r="D128" s="309">
        <f t="shared" si="227"/>
        <v>0</v>
      </c>
      <c r="E128" s="309">
        <f t="shared" si="227"/>
        <v>0</v>
      </c>
      <c r="F128" s="309">
        <f t="shared" si="227"/>
        <v>0</v>
      </c>
      <c r="G128" s="309">
        <f t="shared" si="227"/>
        <v>0</v>
      </c>
      <c r="H128" s="309">
        <f t="shared" si="227"/>
        <v>0</v>
      </c>
      <c r="I128" s="309">
        <f t="shared" si="227"/>
        <v>0</v>
      </c>
      <c r="J128" s="309">
        <f t="shared" ref="J128:K128" si="228">IF(J6&lt;1,J93*RADIANS(J9),J94*RADIANS(J9))</f>
        <v>0</v>
      </c>
      <c r="K128" s="309">
        <f t="shared" si="228"/>
        <v>0</v>
      </c>
    </row>
    <row r="129" spans="1:11" ht="15" customHeight="1">
      <c r="A129" t="s">
        <v>391</v>
      </c>
    </row>
    <row r="130" spans="1:11" ht="15" hidden="1" customHeight="1" outlineLevel="1">
      <c r="A130">
        <v>1</v>
      </c>
      <c r="B130" s="222">
        <f>B$29*(B81)*B$128</f>
        <v>0.23582357501647838</v>
      </c>
      <c r="C130" s="222">
        <f t="shared" ref="C130:I130" si="229">C$29*(C81)*C$128</f>
        <v>0</v>
      </c>
      <c r="D130" s="222">
        <f t="shared" si="229"/>
        <v>0</v>
      </c>
      <c r="E130" s="222">
        <f t="shared" si="229"/>
        <v>0</v>
      </c>
      <c r="F130" s="222">
        <f t="shared" si="229"/>
        <v>0</v>
      </c>
      <c r="G130" s="222">
        <f t="shared" si="229"/>
        <v>0</v>
      </c>
      <c r="H130" s="222">
        <f t="shared" si="229"/>
        <v>0</v>
      </c>
      <c r="I130" s="222">
        <f t="shared" si="229"/>
        <v>0</v>
      </c>
      <c r="J130" s="222">
        <f t="shared" ref="J130:K130" si="230">J$29*(J81)*J$128</f>
        <v>0</v>
      </c>
      <c r="K130" s="222">
        <f t="shared" si="230"/>
        <v>0</v>
      </c>
    </row>
    <row r="131" spans="1:11" ht="15" hidden="1" customHeight="1" outlineLevel="1">
      <c r="A131">
        <v>2</v>
      </c>
      <c r="B131" s="222">
        <f t="shared" ref="B131" si="231">B$29*(B82)*B$128</f>
        <v>0.22845408829721348</v>
      </c>
      <c r="C131" s="222">
        <f t="shared" ref="C131:I131" si="232">C$29*(C82)*C$128</f>
        <v>0</v>
      </c>
      <c r="D131" s="222">
        <f t="shared" si="232"/>
        <v>0</v>
      </c>
      <c r="E131" s="222">
        <f t="shared" si="232"/>
        <v>0</v>
      </c>
      <c r="F131" s="222">
        <f t="shared" si="232"/>
        <v>0</v>
      </c>
      <c r="G131" s="222">
        <f t="shared" si="232"/>
        <v>0</v>
      </c>
      <c r="H131" s="222">
        <f t="shared" si="232"/>
        <v>0</v>
      </c>
      <c r="I131" s="222">
        <f t="shared" si="232"/>
        <v>0</v>
      </c>
      <c r="J131" s="222">
        <f t="shared" ref="J131:K131" si="233">J$29*(J82)*J$128</f>
        <v>0</v>
      </c>
      <c r="K131" s="222">
        <f t="shared" si="233"/>
        <v>0</v>
      </c>
    </row>
    <row r="132" spans="1:11" ht="15" hidden="1" customHeight="1" outlineLevel="1">
      <c r="A132">
        <v>3</v>
      </c>
      <c r="B132" s="222">
        <f t="shared" ref="B132" si="234">B$29*(B83)*B$128</f>
        <v>0.22108460157794849</v>
      </c>
      <c r="C132" s="222">
        <f t="shared" ref="C132:I132" si="235">C$29*(C83)*C$128</f>
        <v>0</v>
      </c>
      <c r="D132" s="222">
        <f t="shared" si="235"/>
        <v>0</v>
      </c>
      <c r="E132" s="222">
        <f t="shared" si="235"/>
        <v>0</v>
      </c>
      <c r="F132" s="222">
        <f t="shared" si="235"/>
        <v>0</v>
      </c>
      <c r="G132" s="222">
        <f t="shared" si="235"/>
        <v>0</v>
      </c>
      <c r="H132" s="222">
        <f t="shared" si="235"/>
        <v>0</v>
      </c>
      <c r="I132" s="222">
        <f t="shared" si="235"/>
        <v>0</v>
      </c>
      <c r="J132" s="222">
        <f t="shared" ref="J132:K132" si="236">J$29*(J83)*J$128</f>
        <v>0</v>
      </c>
      <c r="K132" s="222">
        <f t="shared" si="236"/>
        <v>0</v>
      </c>
    </row>
    <row r="133" spans="1:11" ht="15" hidden="1" customHeight="1" outlineLevel="1">
      <c r="A133">
        <v>4</v>
      </c>
      <c r="B133" s="222">
        <f t="shared" ref="B133" si="237">B$29*(B84)*B$128</f>
        <v>0.21371511485868358</v>
      </c>
      <c r="C133" s="222">
        <f t="shared" ref="C133:I133" si="238">C$29*(C84)*C$128</f>
        <v>0</v>
      </c>
      <c r="D133" s="222">
        <f t="shared" si="238"/>
        <v>0</v>
      </c>
      <c r="E133" s="222">
        <f t="shared" si="238"/>
        <v>0</v>
      </c>
      <c r="F133" s="222">
        <f t="shared" si="238"/>
        <v>0</v>
      </c>
      <c r="G133" s="222">
        <f t="shared" si="238"/>
        <v>0</v>
      </c>
      <c r="H133" s="222">
        <f t="shared" si="238"/>
        <v>0</v>
      </c>
      <c r="I133" s="222">
        <f t="shared" si="238"/>
        <v>0</v>
      </c>
      <c r="J133" s="222">
        <f t="shared" ref="J133:K133" si="239">J$29*(J84)*J$128</f>
        <v>0</v>
      </c>
      <c r="K133" s="222">
        <f t="shared" si="239"/>
        <v>0</v>
      </c>
    </row>
    <row r="134" spans="1:11" ht="15" hidden="1" customHeight="1" outlineLevel="1">
      <c r="A134">
        <v>5</v>
      </c>
      <c r="B134" s="222">
        <f t="shared" ref="B134" si="240">B$29*(B85)*B$128</f>
        <v>0.20634562813941859</v>
      </c>
      <c r="C134" s="222">
        <f t="shared" ref="C134:I134" si="241">C$29*(C85)*C$128</f>
        <v>0</v>
      </c>
      <c r="D134" s="222">
        <f t="shared" si="241"/>
        <v>0</v>
      </c>
      <c r="E134" s="222">
        <f t="shared" si="241"/>
        <v>0</v>
      </c>
      <c r="F134" s="222">
        <f t="shared" si="241"/>
        <v>0</v>
      </c>
      <c r="G134" s="222">
        <f t="shared" si="241"/>
        <v>0</v>
      </c>
      <c r="H134" s="222">
        <f t="shared" si="241"/>
        <v>0</v>
      </c>
      <c r="I134" s="222">
        <f t="shared" si="241"/>
        <v>0</v>
      </c>
      <c r="J134" s="222">
        <f t="shared" ref="J134:K134" si="242">J$29*(J85)*J$128</f>
        <v>0</v>
      </c>
      <c r="K134" s="222">
        <f t="shared" si="242"/>
        <v>0</v>
      </c>
    </row>
    <row r="135" spans="1:11" ht="15" hidden="1" customHeight="1" outlineLevel="1">
      <c r="A135">
        <v>6</v>
      </c>
      <c r="B135" s="222">
        <f t="shared" ref="B135" si="243">B$29*(B86)*B$128</f>
        <v>0.19897614142015366</v>
      </c>
      <c r="C135" s="222">
        <f t="shared" ref="C135:I135" si="244">C$29*(C86)*C$128</f>
        <v>0</v>
      </c>
      <c r="D135" s="222">
        <f t="shared" si="244"/>
        <v>0</v>
      </c>
      <c r="E135" s="222">
        <f t="shared" si="244"/>
        <v>0</v>
      </c>
      <c r="F135" s="222">
        <f t="shared" si="244"/>
        <v>0</v>
      </c>
      <c r="G135" s="222">
        <f t="shared" si="244"/>
        <v>0</v>
      </c>
      <c r="H135" s="222">
        <f t="shared" si="244"/>
        <v>0</v>
      </c>
      <c r="I135" s="222">
        <f t="shared" si="244"/>
        <v>0</v>
      </c>
      <c r="J135" s="222">
        <f t="shared" ref="J135:K135" si="245">J$29*(J86)*J$128</f>
        <v>0</v>
      </c>
      <c r="K135" s="222">
        <f t="shared" si="245"/>
        <v>0</v>
      </c>
    </row>
    <row r="136" spans="1:11" ht="15" hidden="1" customHeight="1" outlineLevel="1">
      <c r="A136">
        <v>7</v>
      </c>
      <c r="B136" s="222">
        <f t="shared" ref="B136" si="246">B$29*(B87)*B$128</f>
        <v>0.19160665470088872</v>
      </c>
      <c r="C136" s="222">
        <f t="shared" ref="C136:I136" si="247">C$29*(C87)*C$128</f>
        <v>0</v>
      </c>
      <c r="D136" s="222">
        <f t="shared" si="247"/>
        <v>0</v>
      </c>
      <c r="E136" s="222">
        <f t="shared" si="247"/>
        <v>0</v>
      </c>
      <c r="F136" s="222">
        <f t="shared" si="247"/>
        <v>0</v>
      </c>
      <c r="G136" s="222">
        <f t="shared" si="247"/>
        <v>0</v>
      </c>
      <c r="H136" s="222">
        <f t="shared" si="247"/>
        <v>0</v>
      </c>
      <c r="I136" s="222">
        <f t="shared" si="247"/>
        <v>0</v>
      </c>
      <c r="J136" s="222">
        <f t="shared" ref="J136:K136" si="248">J$29*(J87)*J$128</f>
        <v>0</v>
      </c>
      <c r="K136" s="222">
        <f t="shared" si="248"/>
        <v>0</v>
      </c>
    </row>
    <row r="137" spans="1:11" ht="15" hidden="1" customHeight="1" outlineLevel="1">
      <c r="A137">
        <v>8</v>
      </c>
      <c r="B137" s="222">
        <f t="shared" ref="B137" si="249">B$29*(B88)*B$128</f>
        <v>0.18423716798162373</v>
      </c>
      <c r="C137" s="222">
        <f t="shared" ref="C137:I137" si="250">C$29*(C88)*C$128</f>
        <v>0</v>
      </c>
      <c r="D137" s="222">
        <f t="shared" si="250"/>
        <v>0</v>
      </c>
      <c r="E137" s="222">
        <f t="shared" si="250"/>
        <v>0</v>
      </c>
      <c r="F137" s="222">
        <f t="shared" si="250"/>
        <v>0</v>
      </c>
      <c r="G137" s="222">
        <f t="shared" si="250"/>
        <v>0</v>
      </c>
      <c r="H137" s="222">
        <f t="shared" si="250"/>
        <v>0</v>
      </c>
      <c r="I137" s="222">
        <f t="shared" si="250"/>
        <v>0</v>
      </c>
      <c r="J137" s="222">
        <f t="shared" ref="J137:K137" si="251">J$29*(J88)*J$128</f>
        <v>0</v>
      </c>
      <c r="K137" s="222">
        <f t="shared" si="251"/>
        <v>0</v>
      </c>
    </row>
    <row r="138" spans="1:11" ht="15" hidden="1" customHeight="1" outlineLevel="1">
      <c r="A138">
        <v>9</v>
      </c>
      <c r="B138" s="222">
        <f t="shared" ref="B138" si="252">B$29*(B89)*B$128</f>
        <v>0.1768676812623588</v>
      </c>
      <c r="C138" s="222">
        <f t="shared" ref="C138:I138" si="253">C$29*(C89)*C$128</f>
        <v>0</v>
      </c>
      <c r="D138" s="222">
        <f t="shared" si="253"/>
        <v>0</v>
      </c>
      <c r="E138" s="222">
        <f t="shared" si="253"/>
        <v>0</v>
      </c>
      <c r="F138" s="222">
        <f t="shared" si="253"/>
        <v>0</v>
      </c>
      <c r="G138" s="222">
        <f t="shared" si="253"/>
        <v>0</v>
      </c>
      <c r="H138" s="222">
        <f t="shared" si="253"/>
        <v>0</v>
      </c>
      <c r="I138" s="222">
        <f t="shared" si="253"/>
        <v>0</v>
      </c>
      <c r="J138" s="222">
        <f t="shared" ref="J138:K138" si="254">J$29*(J89)*J$128</f>
        <v>0</v>
      </c>
      <c r="K138" s="222">
        <f t="shared" si="254"/>
        <v>0</v>
      </c>
    </row>
    <row r="139" spans="1:11" ht="15" hidden="1" customHeight="1" outlineLevel="1">
      <c r="A139">
        <v>10</v>
      </c>
      <c r="B139" s="222">
        <f t="shared" ref="B139" si="255">B$29*(B90)*B$128</f>
        <v>0.16949819454309384</v>
      </c>
      <c r="C139" s="222">
        <f t="shared" ref="C139:I139" si="256">C$29*(C90)*C$128</f>
        <v>0</v>
      </c>
      <c r="D139" s="222">
        <f t="shared" si="256"/>
        <v>0</v>
      </c>
      <c r="E139" s="222">
        <f t="shared" si="256"/>
        <v>0</v>
      </c>
      <c r="F139" s="222">
        <f t="shared" si="256"/>
        <v>0</v>
      </c>
      <c r="G139" s="222">
        <f t="shared" si="256"/>
        <v>0</v>
      </c>
      <c r="H139" s="222">
        <f t="shared" si="256"/>
        <v>0</v>
      </c>
      <c r="I139" s="222">
        <f t="shared" si="256"/>
        <v>0</v>
      </c>
      <c r="J139" s="222">
        <f t="shared" ref="J139:K139" si="257">J$29*(J90)*J$128</f>
        <v>0</v>
      </c>
      <c r="K139" s="222">
        <f t="shared" si="257"/>
        <v>0</v>
      </c>
    </row>
    <row r="140" spans="1:11" ht="15" customHeight="1" collapsed="1">
      <c r="A140" t="s">
        <v>582</v>
      </c>
    </row>
    <row r="141" spans="1:11" ht="15" hidden="1" customHeight="1" outlineLevel="1">
      <c r="A141">
        <v>1</v>
      </c>
      <c r="B141" s="222">
        <f>B130*$A141*(B$48/11)</f>
        <v>3.2157760229519776E-3</v>
      </c>
      <c r="C141" s="222">
        <f t="shared" ref="C141:I141" si="258">C130*$A141*(C$48/11)</f>
        <v>0</v>
      </c>
      <c r="D141" s="222">
        <f t="shared" si="258"/>
        <v>0</v>
      </c>
      <c r="E141" s="222">
        <f t="shared" si="258"/>
        <v>0</v>
      </c>
      <c r="F141" s="222">
        <f t="shared" si="258"/>
        <v>0</v>
      </c>
      <c r="G141" s="222">
        <f t="shared" si="258"/>
        <v>0</v>
      </c>
      <c r="H141" s="222">
        <f t="shared" si="258"/>
        <v>0</v>
      </c>
      <c r="I141" s="222">
        <f t="shared" si="258"/>
        <v>0</v>
      </c>
      <c r="J141" s="222">
        <f t="shared" ref="J141:K141" si="259">J130*$A141*(J$48/11)</f>
        <v>0</v>
      </c>
      <c r="K141" s="222">
        <f t="shared" si="259"/>
        <v>0</v>
      </c>
    </row>
    <row r="142" spans="1:11" ht="15" hidden="1" customHeight="1" outlineLevel="1">
      <c r="A142">
        <v>2</v>
      </c>
      <c r="B142" s="222">
        <f t="shared" ref="B142:B150" si="260">B131*$A142*(B$48/11)</f>
        <v>6.2305660444694584E-3</v>
      </c>
      <c r="C142" s="222">
        <f t="shared" ref="C142:I142" si="261">C131*$A142*(C$48/11)</f>
        <v>0</v>
      </c>
      <c r="D142" s="222">
        <f t="shared" si="261"/>
        <v>0</v>
      </c>
      <c r="E142" s="222">
        <f t="shared" si="261"/>
        <v>0</v>
      </c>
      <c r="F142" s="222">
        <f t="shared" si="261"/>
        <v>0</v>
      </c>
      <c r="G142" s="222">
        <f t="shared" si="261"/>
        <v>0</v>
      </c>
      <c r="H142" s="222">
        <f t="shared" si="261"/>
        <v>0</v>
      </c>
      <c r="I142" s="222">
        <f t="shared" si="261"/>
        <v>0</v>
      </c>
      <c r="J142" s="222">
        <f t="shared" ref="J142:K142" si="262">J131*$A142*(J$48/11)</f>
        <v>0</v>
      </c>
      <c r="K142" s="222">
        <f t="shared" si="262"/>
        <v>0</v>
      </c>
    </row>
    <row r="143" spans="1:11" ht="15" hidden="1" customHeight="1" outlineLevel="1">
      <c r="A143">
        <v>3</v>
      </c>
      <c r="B143" s="222">
        <f t="shared" si="260"/>
        <v>9.0443700645524375E-3</v>
      </c>
      <c r="C143" s="222">
        <f t="shared" ref="C143:I143" si="263">C132*$A143*(C$48/11)</f>
        <v>0</v>
      </c>
      <c r="D143" s="222">
        <f t="shared" si="263"/>
        <v>0</v>
      </c>
      <c r="E143" s="222">
        <f t="shared" si="263"/>
        <v>0</v>
      </c>
      <c r="F143" s="222">
        <f t="shared" si="263"/>
        <v>0</v>
      </c>
      <c r="G143" s="222">
        <f t="shared" si="263"/>
        <v>0</v>
      </c>
      <c r="H143" s="222">
        <f t="shared" si="263"/>
        <v>0</v>
      </c>
      <c r="I143" s="222">
        <f t="shared" si="263"/>
        <v>0</v>
      </c>
      <c r="J143" s="222">
        <f t="shared" ref="J143:K143" si="264">J132*$A143*(J$48/11)</f>
        <v>0</v>
      </c>
      <c r="K143" s="222">
        <f t="shared" si="264"/>
        <v>0</v>
      </c>
    </row>
    <row r="144" spans="1:11" ht="15" hidden="1" customHeight="1" outlineLevel="1">
      <c r="A144">
        <v>4</v>
      </c>
      <c r="B144" s="222">
        <f t="shared" si="260"/>
        <v>1.1657188083200922E-2</v>
      </c>
      <c r="C144" s="222">
        <f t="shared" ref="C144:I144" si="265">C133*$A144*(C$48/11)</f>
        <v>0</v>
      </c>
      <c r="D144" s="222">
        <f t="shared" si="265"/>
        <v>0</v>
      </c>
      <c r="E144" s="222">
        <f t="shared" si="265"/>
        <v>0</v>
      </c>
      <c r="F144" s="222">
        <f t="shared" si="265"/>
        <v>0</v>
      </c>
      <c r="G144" s="222">
        <f t="shared" si="265"/>
        <v>0</v>
      </c>
      <c r="H144" s="222">
        <f t="shared" si="265"/>
        <v>0</v>
      </c>
      <c r="I144" s="222">
        <f t="shared" si="265"/>
        <v>0</v>
      </c>
      <c r="J144" s="222">
        <f t="shared" ref="J144:K144" si="266">J133*$A144*(J$48/11)</f>
        <v>0</v>
      </c>
      <c r="K144" s="222">
        <f t="shared" si="266"/>
        <v>0</v>
      </c>
    </row>
    <row r="145" spans="1:11" ht="15" hidden="1" customHeight="1" outlineLevel="1">
      <c r="A145">
        <v>5</v>
      </c>
      <c r="B145" s="222">
        <f t="shared" si="260"/>
        <v>1.4069020100414902E-2</v>
      </c>
      <c r="C145" s="222">
        <f t="shared" ref="C145:I145" si="267">C134*$A145*(C$48/11)</f>
        <v>0</v>
      </c>
      <c r="D145" s="222">
        <f t="shared" si="267"/>
        <v>0</v>
      </c>
      <c r="E145" s="222">
        <f t="shared" si="267"/>
        <v>0</v>
      </c>
      <c r="F145" s="222">
        <f t="shared" si="267"/>
        <v>0</v>
      </c>
      <c r="G145" s="222">
        <f t="shared" si="267"/>
        <v>0</v>
      </c>
      <c r="H145" s="222">
        <f t="shared" si="267"/>
        <v>0</v>
      </c>
      <c r="I145" s="222">
        <f t="shared" si="267"/>
        <v>0</v>
      </c>
      <c r="J145" s="222">
        <f t="shared" ref="J145:K145" si="268">J134*$A145*(J$48/11)</f>
        <v>0</v>
      </c>
      <c r="K145" s="222">
        <f t="shared" si="268"/>
        <v>0</v>
      </c>
    </row>
    <row r="146" spans="1:11" ht="15" hidden="1" customHeight="1" outlineLevel="1">
      <c r="A146">
        <v>6</v>
      </c>
      <c r="B146" s="222">
        <f t="shared" si="260"/>
        <v>1.6279866116194391E-2</v>
      </c>
      <c r="C146" s="222">
        <f t="shared" ref="C146:I146" si="269">C135*$A146*(C$48/11)</f>
        <v>0</v>
      </c>
      <c r="D146" s="222">
        <f t="shared" si="269"/>
        <v>0</v>
      </c>
      <c r="E146" s="222">
        <f t="shared" si="269"/>
        <v>0</v>
      </c>
      <c r="F146" s="222">
        <f t="shared" si="269"/>
        <v>0</v>
      </c>
      <c r="G146" s="222">
        <f t="shared" si="269"/>
        <v>0</v>
      </c>
      <c r="H146" s="222">
        <f t="shared" si="269"/>
        <v>0</v>
      </c>
      <c r="I146" s="222">
        <f t="shared" si="269"/>
        <v>0</v>
      </c>
      <c r="J146" s="222">
        <f t="shared" ref="J146:K146" si="270">J135*$A146*(J$48/11)</f>
        <v>0</v>
      </c>
      <c r="K146" s="222">
        <f t="shared" si="270"/>
        <v>0</v>
      </c>
    </row>
    <row r="147" spans="1:11" ht="15" hidden="1" customHeight="1" outlineLevel="1">
      <c r="A147">
        <v>7</v>
      </c>
      <c r="B147" s="222">
        <f t="shared" si="260"/>
        <v>1.8289726130539377E-2</v>
      </c>
      <c r="C147" s="222">
        <f t="shared" ref="C147:I147" si="271">C136*$A147*(C$48/11)</f>
        <v>0</v>
      </c>
      <c r="D147" s="222">
        <f t="shared" si="271"/>
        <v>0</v>
      </c>
      <c r="E147" s="222">
        <f t="shared" si="271"/>
        <v>0</v>
      </c>
      <c r="F147" s="222">
        <f t="shared" si="271"/>
        <v>0</v>
      </c>
      <c r="G147" s="222">
        <f t="shared" si="271"/>
        <v>0</v>
      </c>
      <c r="H147" s="222">
        <f t="shared" si="271"/>
        <v>0</v>
      </c>
      <c r="I147" s="222">
        <f t="shared" si="271"/>
        <v>0</v>
      </c>
      <c r="J147" s="222">
        <f t="shared" ref="J147:K147" si="272">J136*$A147*(J$48/11)</f>
        <v>0</v>
      </c>
      <c r="K147" s="222">
        <f t="shared" si="272"/>
        <v>0</v>
      </c>
    </row>
    <row r="148" spans="1:11" ht="15" hidden="1" customHeight="1" outlineLevel="1">
      <c r="A148">
        <v>8</v>
      </c>
      <c r="B148" s="222">
        <f t="shared" si="260"/>
        <v>2.0098600143449861E-2</v>
      </c>
      <c r="C148" s="222">
        <f t="shared" ref="C148:I148" si="273">C137*$A148*(C$48/11)</f>
        <v>0</v>
      </c>
      <c r="D148" s="222">
        <f t="shared" si="273"/>
        <v>0</v>
      </c>
      <c r="E148" s="222">
        <f t="shared" si="273"/>
        <v>0</v>
      </c>
      <c r="F148" s="222">
        <f t="shared" si="273"/>
        <v>0</v>
      </c>
      <c r="G148" s="222">
        <f t="shared" si="273"/>
        <v>0</v>
      </c>
      <c r="H148" s="222">
        <f t="shared" si="273"/>
        <v>0</v>
      </c>
      <c r="I148" s="222">
        <f t="shared" si="273"/>
        <v>0</v>
      </c>
      <c r="J148" s="222">
        <f t="shared" ref="J148:K148" si="274">J137*$A148*(J$48/11)</f>
        <v>0</v>
      </c>
      <c r="K148" s="222">
        <f t="shared" si="274"/>
        <v>0</v>
      </c>
    </row>
    <row r="149" spans="1:11" ht="15" hidden="1" customHeight="1" outlineLevel="1">
      <c r="A149">
        <v>9</v>
      </c>
      <c r="B149" s="222">
        <f t="shared" si="260"/>
        <v>2.1706488154925853E-2</v>
      </c>
      <c r="C149" s="222">
        <f t="shared" ref="C149:I149" si="275">C138*$A149*(C$48/11)</f>
        <v>0</v>
      </c>
      <c r="D149" s="222">
        <f t="shared" si="275"/>
        <v>0</v>
      </c>
      <c r="E149" s="222">
        <f t="shared" si="275"/>
        <v>0</v>
      </c>
      <c r="F149" s="222">
        <f t="shared" si="275"/>
        <v>0</v>
      </c>
      <c r="G149" s="222">
        <f t="shared" si="275"/>
        <v>0</v>
      </c>
      <c r="H149" s="222">
        <f t="shared" si="275"/>
        <v>0</v>
      </c>
      <c r="I149" s="222">
        <f t="shared" si="275"/>
        <v>0</v>
      </c>
      <c r="J149" s="222">
        <f t="shared" ref="J149:K149" si="276">J138*$A149*(J$48/11)</f>
        <v>0</v>
      </c>
      <c r="K149" s="222">
        <f t="shared" si="276"/>
        <v>0</v>
      </c>
    </row>
    <row r="150" spans="1:11" ht="15" hidden="1" customHeight="1" outlineLevel="1">
      <c r="A150">
        <v>10</v>
      </c>
      <c r="B150" s="222">
        <f t="shared" si="260"/>
        <v>2.3113390164967339E-2</v>
      </c>
      <c r="C150" s="222">
        <f t="shared" ref="C150:I150" si="277">C139*$A150*(C$48/11)</f>
        <v>0</v>
      </c>
      <c r="D150" s="222">
        <f t="shared" si="277"/>
        <v>0</v>
      </c>
      <c r="E150" s="222">
        <f t="shared" si="277"/>
        <v>0</v>
      </c>
      <c r="F150" s="222">
        <f t="shared" si="277"/>
        <v>0</v>
      </c>
      <c r="G150" s="222">
        <f t="shared" si="277"/>
        <v>0</v>
      </c>
      <c r="H150" s="222">
        <f t="shared" si="277"/>
        <v>0</v>
      </c>
      <c r="I150" s="222">
        <f t="shared" si="277"/>
        <v>0</v>
      </c>
      <c r="J150" s="222">
        <f t="shared" ref="J150:K150" si="278">J139*$A150*(J$48/11)</f>
        <v>0</v>
      </c>
      <c r="K150" s="222">
        <f t="shared" si="278"/>
        <v>0</v>
      </c>
    </row>
    <row r="151" spans="1:11" ht="15" customHeight="1" collapsed="1">
      <c r="A151" t="s">
        <v>584</v>
      </c>
      <c r="B151" s="222">
        <f>SUM(B130:B139)</f>
        <v>2.0266088477978612</v>
      </c>
      <c r="C151" s="222">
        <f t="shared" ref="C151:I151" si="279">SUM(C130:C139)</f>
        <v>0</v>
      </c>
      <c r="D151" s="222">
        <f t="shared" si="279"/>
        <v>0</v>
      </c>
      <c r="E151" s="222">
        <f t="shared" si="279"/>
        <v>0</v>
      </c>
      <c r="F151" s="222">
        <f t="shared" si="279"/>
        <v>0</v>
      </c>
      <c r="G151" s="222">
        <f t="shared" si="279"/>
        <v>0</v>
      </c>
      <c r="H151" s="222">
        <f t="shared" si="279"/>
        <v>0</v>
      </c>
      <c r="I151" s="222">
        <f t="shared" si="279"/>
        <v>0</v>
      </c>
      <c r="J151" s="222">
        <f t="shared" ref="J151:K151" si="280">SUM(J130:J139)</f>
        <v>0</v>
      </c>
      <c r="K151" s="222">
        <f t="shared" si="280"/>
        <v>0</v>
      </c>
    </row>
    <row r="152" spans="1:11" ht="15" customHeight="1">
      <c r="A152" t="s">
        <v>583</v>
      </c>
      <c r="B152" s="222">
        <f>SUM(B141:B150)</f>
        <v>0.1437049910256665</v>
      </c>
      <c r="C152" s="222">
        <f t="shared" ref="C152:I152" si="281">SUM(C141:C150)</f>
        <v>0</v>
      </c>
      <c r="D152" s="222">
        <f t="shared" si="281"/>
        <v>0</v>
      </c>
      <c r="E152" s="222">
        <f t="shared" si="281"/>
        <v>0</v>
      </c>
      <c r="F152" s="222">
        <f t="shared" si="281"/>
        <v>0</v>
      </c>
      <c r="G152" s="222">
        <f t="shared" si="281"/>
        <v>0</v>
      </c>
      <c r="H152" s="222">
        <f t="shared" si="281"/>
        <v>0</v>
      </c>
      <c r="I152" s="222">
        <f t="shared" si="281"/>
        <v>0</v>
      </c>
      <c r="J152" s="222">
        <f t="shared" ref="J152:K152" si="282">SUM(J141:J150)</f>
        <v>0</v>
      </c>
      <c r="K152" s="222">
        <f t="shared" si="282"/>
        <v>0</v>
      </c>
    </row>
    <row r="153" spans="1:11" ht="15" customHeight="1">
      <c r="A153" s="308" t="s">
        <v>392</v>
      </c>
      <c r="B153" s="222">
        <f t="shared" ref="B153" si="283">(2*B151)/(B29*B91)</f>
        <v>0.93262740263013222</v>
      </c>
      <c r="C153" s="222">
        <f t="shared" ref="C153:I153" si="284">(2*C151)/(C29*C91)</f>
        <v>0</v>
      </c>
      <c r="D153" s="222">
        <f t="shared" si="284"/>
        <v>0</v>
      </c>
      <c r="E153" s="222">
        <f t="shared" si="284"/>
        <v>0</v>
      </c>
      <c r="F153" s="222">
        <f t="shared" si="284"/>
        <v>0</v>
      </c>
      <c r="G153" s="222">
        <f t="shared" si="284"/>
        <v>0</v>
      </c>
      <c r="H153" s="222">
        <f t="shared" si="284"/>
        <v>0</v>
      </c>
      <c r="I153" s="222">
        <f t="shared" si="284"/>
        <v>0</v>
      </c>
      <c r="J153" s="222">
        <f t="shared" ref="J153:K153" si="285">(2*J151)/(J29*J91)</f>
        <v>0</v>
      </c>
      <c r="K153" s="222">
        <f t="shared" si="285"/>
        <v>0</v>
      </c>
    </row>
    <row r="154" spans="1:11" ht="15" customHeight="1">
      <c r="A154" s="308" t="s">
        <v>585</v>
      </c>
      <c r="B154" s="222">
        <f>(B152/B151)*100</f>
        <v>7.0909090909090891</v>
      </c>
      <c r="C154" s="222" t="e">
        <f t="shared" ref="C154:I154" si="286">(C152/C151)*100</f>
        <v>#DIV/0!</v>
      </c>
      <c r="D154" s="222" t="e">
        <f t="shared" si="286"/>
        <v>#DIV/0!</v>
      </c>
      <c r="E154" s="222" t="e">
        <f t="shared" si="286"/>
        <v>#DIV/0!</v>
      </c>
      <c r="F154" s="222" t="e">
        <f t="shared" si="286"/>
        <v>#DIV/0!</v>
      </c>
      <c r="G154" s="222" t="e">
        <f t="shared" si="286"/>
        <v>#DIV/0!</v>
      </c>
      <c r="H154" s="222" t="e">
        <f t="shared" si="286"/>
        <v>#DIV/0!</v>
      </c>
      <c r="I154" s="222" t="e">
        <f t="shared" si="286"/>
        <v>#DIV/0!</v>
      </c>
      <c r="J154" s="222" t="e">
        <f t="shared" ref="J154:K154" si="287">(J152/J151)*100</f>
        <v>#DIV/0!</v>
      </c>
      <c r="K154" s="222" t="e">
        <f t="shared" si="287"/>
        <v>#DIV/0!</v>
      </c>
    </row>
    <row r="155" spans="1:11" ht="15" customHeight="1">
      <c r="A155" t="s">
        <v>393</v>
      </c>
    </row>
    <row r="156" spans="1:11" ht="15" hidden="1" customHeight="1" outlineLevel="1">
      <c r="A156">
        <v>0</v>
      </c>
      <c r="B156">
        <v>0</v>
      </c>
      <c r="C156">
        <v>0</v>
      </c>
      <c r="D156">
        <v>0</v>
      </c>
      <c r="E156">
        <v>0</v>
      </c>
      <c r="F156">
        <v>0</v>
      </c>
      <c r="G156">
        <v>0</v>
      </c>
      <c r="H156">
        <v>0</v>
      </c>
      <c r="I156">
        <v>0</v>
      </c>
      <c r="J156">
        <v>0</v>
      </c>
      <c r="K156">
        <v>0</v>
      </c>
    </row>
    <row r="157" spans="1:11" ht="15" hidden="1" customHeight="1" outlineLevel="1">
      <c r="A157">
        <v>5</v>
      </c>
      <c r="B157">
        <v>0.355956543071071</v>
      </c>
      <c r="C157">
        <v>0.355956543071071</v>
      </c>
      <c r="D157">
        <v>0.355956543071071</v>
      </c>
      <c r="E157">
        <v>0.355956543071071</v>
      </c>
      <c r="F157">
        <v>0.355956543071071</v>
      </c>
      <c r="G157">
        <v>0.355956543071071</v>
      </c>
      <c r="H157">
        <v>0.355956543071071</v>
      </c>
      <c r="I157">
        <v>0.355956543071071</v>
      </c>
      <c r="J157">
        <v>0.355956543071071</v>
      </c>
      <c r="K157">
        <v>0.355956543071071</v>
      </c>
    </row>
    <row r="158" spans="1:11" ht="15" hidden="1" customHeight="1" outlineLevel="1">
      <c r="A158">
        <v>10</v>
      </c>
      <c r="B158">
        <v>0.71191308614214277</v>
      </c>
      <c r="C158">
        <v>0.71191308614214277</v>
      </c>
      <c r="D158">
        <v>0.71191308614214277</v>
      </c>
      <c r="E158">
        <v>0.71191308614214277</v>
      </c>
      <c r="F158">
        <v>0.71191308614214277</v>
      </c>
      <c r="G158">
        <v>0.71191308614214277</v>
      </c>
      <c r="H158">
        <v>0.71191308614214277</v>
      </c>
      <c r="I158">
        <v>0.71191308614214277</v>
      </c>
      <c r="J158">
        <v>0.71191308614214277</v>
      </c>
      <c r="K158">
        <v>0.71191308614214277</v>
      </c>
    </row>
    <row r="159" spans="1:11" ht="15" hidden="1" customHeight="1" outlineLevel="1">
      <c r="A159" s="218">
        <v>15</v>
      </c>
      <c r="B159">
        <v>1.0678696292132142</v>
      </c>
      <c r="C159">
        <v>1.0678696292132142</v>
      </c>
      <c r="D159">
        <v>1.0678696292132142</v>
      </c>
      <c r="E159">
        <v>1.0678696292132142</v>
      </c>
      <c r="F159">
        <v>1.0678696292132142</v>
      </c>
      <c r="G159">
        <v>1.0678696292132142</v>
      </c>
      <c r="H159">
        <v>1.0678696292132142</v>
      </c>
      <c r="I159">
        <v>1.0678696292132142</v>
      </c>
      <c r="J159">
        <v>1.0678696292132142</v>
      </c>
      <c r="K159">
        <v>1.0678696292132142</v>
      </c>
    </row>
    <row r="160" spans="1:11" ht="15" hidden="1" customHeight="1" outlineLevel="1">
      <c r="A160" s="297">
        <v>20</v>
      </c>
      <c r="B160">
        <v>1.4238261722842855</v>
      </c>
      <c r="C160">
        <v>1.4238261722842855</v>
      </c>
      <c r="D160">
        <v>1.4238261722842855</v>
      </c>
      <c r="E160">
        <v>1.4238261722842855</v>
      </c>
      <c r="F160">
        <v>1.4238261722842855</v>
      </c>
      <c r="G160">
        <v>1.4238261722842855</v>
      </c>
      <c r="H160">
        <v>1.4238261722842855</v>
      </c>
      <c r="I160">
        <v>1.4238261722842855</v>
      </c>
      <c r="J160">
        <v>1.4238261722842855</v>
      </c>
      <c r="K160">
        <v>1.4238261722842855</v>
      </c>
    </row>
    <row r="161" spans="1:11" ht="15" hidden="1" customHeight="1" outlineLevel="1">
      <c r="A161" s="297">
        <v>25</v>
      </c>
      <c r="B161">
        <v>1.7797827153553569</v>
      </c>
      <c r="C161">
        <v>1.7797827153553569</v>
      </c>
      <c r="D161">
        <v>1.7797827153553569</v>
      </c>
      <c r="E161">
        <v>1.7797827153553569</v>
      </c>
      <c r="F161">
        <v>1.7797827153553569</v>
      </c>
      <c r="G161">
        <v>1.7797827153553569</v>
      </c>
      <c r="H161">
        <v>1.7797827153553569</v>
      </c>
      <c r="I161">
        <v>1.7797827153553569</v>
      </c>
      <c r="J161">
        <v>1.7797827153553569</v>
      </c>
      <c r="K161">
        <v>1.7797827153553569</v>
      </c>
    </row>
    <row r="162" spans="1:11" ht="15" hidden="1" customHeight="1" outlineLevel="1">
      <c r="A162" s="297">
        <v>30</v>
      </c>
      <c r="B162">
        <v>2.1357392584264283</v>
      </c>
      <c r="C162">
        <v>2.1357392584264283</v>
      </c>
      <c r="D162">
        <v>2.1357392584264283</v>
      </c>
      <c r="E162">
        <v>2.1357392584264283</v>
      </c>
      <c r="F162">
        <v>2.1357392584264283</v>
      </c>
      <c r="G162">
        <v>2.1357392584264283</v>
      </c>
      <c r="H162">
        <v>2.1357392584264283</v>
      </c>
      <c r="I162">
        <v>2.1357392584264283</v>
      </c>
      <c r="J162">
        <v>2.1357392584264283</v>
      </c>
      <c r="K162">
        <v>2.1357392584264283</v>
      </c>
    </row>
    <row r="163" spans="1:11" ht="15" customHeight="1" collapsed="1">
      <c r="A163" s="299" t="s">
        <v>572</v>
      </c>
      <c r="B163" s="296">
        <f>AVERAGE(B164:B168)</f>
        <v>7.1191308614214271E-2</v>
      </c>
      <c r="C163" s="296">
        <f t="shared" ref="C163:I163" si="288">AVERAGE(C164:C168)</f>
        <v>7.1191308614214271E-2</v>
      </c>
      <c r="D163" s="296">
        <f t="shared" si="288"/>
        <v>7.1191308614214271E-2</v>
      </c>
      <c r="E163" s="296">
        <f t="shared" si="288"/>
        <v>7.1191308614214271E-2</v>
      </c>
      <c r="F163" s="296">
        <f t="shared" si="288"/>
        <v>7.1191308614214271E-2</v>
      </c>
      <c r="G163" s="296">
        <f t="shared" si="288"/>
        <v>7.1191308614214271E-2</v>
      </c>
      <c r="H163" s="296">
        <f t="shared" si="288"/>
        <v>7.1191308614214271E-2</v>
      </c>
      <c r="I163" s="296">
        <f t="shared" si="288"/>
        <v>7.1191308614214271E-2</v>
      </c>
      <c r="J163" s="296">
        <f t="shared" ref="J163" si="289">AVERAGE(J164:J168)</f>
        <v>7.1191308614214271E-2</v>
      </c>
      <c r="K163" s="296">
        <f t="shared" ref="K163" si="290">AVERAGE(K164:K168)</f>
        <v>7.1191308614214271E-2</v>
      </c>
    </row>
    <row r="164" spans="1:11" ht="15" hidden="1" customHeight="1" outlineLevel="1">
      <c r="A164">
        <v>0</v>
      </c>
      <c r="B164" s="296">
        <f t="shared" ref="B164:B168" si="291">(B157-B156)/($A157-$A156)</f>
        <v>7.1191308614214202E-2</v>
      </c>
      <c r="C164" s="296">
        <f t="shared" ref="C164:I164" si="292">(C157-C156)/($A157-$A156)</f>
        <v>7.1191308614214202E-2</v>
      </c>
      <c r="D164" s="296">
        <f t="shared" si="292"/>
        <v>7.1191308614214202E-2</v>
      </c>
      <c r="E164" s="296">
        <f t="shared" si="292"/>
        <v>7.1191308614214202E-2</v>
      </c>
      <c r="F164" s="296">
        <f t="shared" si="292"/>
        <v>7.1191308614214202E-2</v>
      </c>
      <c r="G164" s="296">
        <f t="shared" si="292"/>
        <v>7.1191308614214202E-2</v>
      </c>
      <c r="H164" s="296">
        <f t="shared" si="292"/>
        <v>7.1191308614214202E-2</v>
      </c>
      <c r="I164" s="296">
        <f t="shared" si="292"/>
        <v>7.1191308614214202E-2</v>
      </c>
      <c r="J164" s="296">
        <f t="shared" ref="J164:K164" si="293">(J157-J156)/($A157-$A156)</f>
        <v>7.1191308614214202E-2</v>
      </c>
      <c r="K164" s="296">
        <f t="shared" si="293"/>
        <v>7.1191308614214202E-2</v>
      </c>
    </row>
    <row r="165" spans="1:11" ht="15" hidden="1" customHeight="1" outlineLevel="1">
      <c r="A165">
        <v>5</v>
      </c>
      <c r="B165" s="296">
        <f t="shared" si="291"/>
        <v>7.1191308614214355E-2</v>
      </c>
      <c r="C165" s="296">
        <f t="shared" ref="C165:I165" si="294">(C158-C157)/($A158-$A157)</f>
        <v>7.1191308614214355E-2</v>
      </c>
      <c r="D165" s="296">
        <f t="shared" si="294"/>
        <v>7.1191308614214355E-2</v>
      </c>
      <c r="E165" s="296">
        <f t="shared" si="294"/>
        <v>7.1191308614214355E-2</v>
      </c>
      <c r="F165" s="296">
        <f t="shared" si="294"/>
        <v>7.1191308614214355E-2</v>
      </c>
      <c r="G165" s="296">
        <f t="shared" si="294"/>
        <v>7.1191308614214355E-2</v>
      </c>
      <c r="H165" s="296">
        <f t="shared" si="294"/>
        <v>7.1191308614214355E-2</v>
      </c>
      <c r="I165" s="296">
        <f t="shared" si="294"/>
        <v>7.1191308614214355E-2</v>
      </c>
      <c r="J165" s="296">
        <f t="shared" ref="J165:K165" si="295">(J158-J157)/($A158-$A157)</f>
        <v>7.1191308614214355E-2</v>
      </c>
      <c r="K165" s="296">
        <f t="shared" si="295"/>
        <v>7.1191308614214355E-2</v>
      </c>
    </row>
    <row r="166" spans="1:11" ht="15" hidden="1" customHeight="1" outlineLevel="1">
      <c r="A166">
        <v>10</v>
      </c>
      <c r="B166" s="296">
        <f t="shared" si="291"/>
        <v>7.1191308614214271E-2</v>
      </c>
      <c r="C166" s="296">
        <f t="shared" ref="C166:I166" si="296">(C159-C158)/($A159-$A158)</f>
        <v>7.1191308614214271E-2</v>
      </c>
      <c r="D166" s="296">
        <f t="shared" si="296"/>
        <v>7.1191308614214271E-2</v>
      </c>
      <c r="E166" s="296">
        <f t="shared" si="296"/>
        <v>7.1191308614214271E-2</v>
      </c>
      <c r="F166" s="296">
        <f t="shared" si="296"/>
        <v>7.1191308614214271E-2</v>
      </c>
      <c r="G166" s="296">
        <f t="shared" si="296"/>
        <v>7.1191308614214271E-2</v>
      </c>
      <c r="H166" s="296">
        <f t="shared" si="296"/>
        <v>7.1191308614214271E-2</v>
      </c>
      <c r="I166" s="296">
        <f t="shared" si="296"/>
        <v>7.1191308614214271E-2</v>
      </c>
      <c r="J166" s="296">
        <f t="shared" ref="J166:K166" si="297">(J159-J158)/($A159-$A158)</f>
        <v>7.1191308614214271E-2</v>
      </c>
      <c r="K166" s="296">
        <f t="shared" si="297"/>
        <v>7.1191308614214271E-2</v>
      </c>
    </row>
    <row r="167" spans="1:11" ht="15" hidden="1" customHeight="1" outlineLevel="1">
      <c r="A167">
        <v>15</v>
      </c>
      <c r="B167" s="296">
        <f t="shared" si="291"/>
        <v>7.1191308614214271E-2</v>
      </c>
      <c r="C167" s="296">
        <f t="shared" ref="C167:I167" si="298">(C160-C159)/($A160-$A159)</f>
        <v>7.1191308614214271E-2</v>
      </c>
      <c r="D167" s="296">
        <f t="shared" si="298"/>
        <v>7.1191308614214271E-2</v>
      </c>
      <c r="E167" s="296">
        <f t="shared" si="298"/>
        <v>7.1191308614214271E-2</v>
      </c>
      <c r="F167" s="296">
        <f t="shared" si="298"/>
        <v>7.1191308614214271E-2</v>
      </c>
      <c r="G167" s="296">
        <f t="shared" si="298"/>
        <v>7.1191308614214271E-2</v>
      </c>
      <c r="H167" s="296">
        <f t="shared" si="298"/>
        <v>7.1191308614214271E-2</v>
      </c>
      <c r="I167" s="296">
        <f t="shared" si="298"/>
        <v>7.1191308614214271E-2</v>
      </c>
      <c r="J167" s="296">
        <f t="shared" ref="J167:K167" si="299">(J160-J159)/($A160-$A159)</f>
        <v>7.1191308614214271E-2</v>
      </c>
      <c r="K167" s="296">
        <f t="shared" si="299"/>
        <v>7.1191308614214271E-2</v>
      </c>
    </row>
    <row r="168" spans="1:11" ht="15" hidden="1" customHeight="1" outlineLevel="1">
      <c r="A168">
        <v>20</v>
      </c>
      <c r="B168" s="296">
        <f t="shared" si="291"/>
        <v>7.1191308614214271E-2</v>
      </c>
      <c r="C168" s="296">
        <f t="shared" ref="C168:I168" si="300">(C161-C160)/($A161-$A160)</f>
        <v>7.1191308614214271E-2</v>
      </c>
      <c r="D168" s="296">
        <f t="shared" si="300"/>
        <v>7.1191308614214271E-2</v>
      </c>
      <c r="E168" s="296">
        <f t="shared" si="300"/>
        <v>7.1191308614214271E-2</v>
      </c>
      <c r="F168" s="296">
        <f t="shared" si="300"/>
        <v>7.1191308614214271E-2</v>
      </c>
      <c r="G168" s="296">
        <f t="shared" si="300"/>
        <v>7.1191308614214271E-2</v>
      </c>
      <c r="H168" s="296">
        <f t="shared" si="300"/>
        <v>7.1191308614214271E-2</v>
      </c>
      <c r="I168" s="296">
        <f t="shared" si="300"/>
        <v>7.1191308614214271E-2</v>
      </c>
      <c r="J168" s="296">
        <f t="shared" ref="J168:K168" si="301">(J161-J160)/($A161-$A160)</f>
        <v>7.1191308614214271E-2</v>
      </c>
      <c r="K168" s="296">
        <f t="shared" si="301"/>
        <v>7.1191308614214271E-2</v>
      </c>
    </row>
    <row r="169" spans="1:11" ht="15" customHeight="1" collapsed="1">
      <c r="A169" s="222"/>
    </row>
    <row r="170" spans="1:11" ht="15" customHeight="1">
      <c r="A170" s="306" t="s">
        <v>578</v>
      </c>
    </row>
    <row r="171" spans="1:11" ht="15" customHeight="1">
      <c r="A171" t="s">
        <v>608</v>
      </c>
    </row>
    <row r="172" spans="1:11" ht="15" customHeight="1" outlineLevel="1">
      <c r="A172">
        <v>0.06</v>
      </c>
      <c r="B172" s="296">
        <v>1.7811871342984904</v>
      </c>
      <c r="C172" s="296"/>
      <c r="D172" s="296"/>
      <c r="E172" s="296"/>
      <c r="F172" s="296"/>
      <c r="G172" s="296"/>
      <c r="H172" s="296"/>
      <c r="I172" s="296"/>
      <c r="J172" s="296"/>
      <c r="K172" s="296"/>
    </row>
    <row r="173" spans="1:11" ht="15" customHeight="1" outlineLevel="1">
      <c r="A173">
        <v>0.1</v>
      </c>
      <c r="B173" s="296">
        <v>1.7868999999999999</v>
      </c>
      <c r="C173" s="296"/>
      <c r="D173" s="296"/>
      <c r="E173" s="296"/>
      <c r="F173" s="296"/>
      <c r="G173" s="296"/>
      <c r="H173" s="296"/>
      <c r="I173" s="296"/>
      <c r="J173" s="296"/>
      <c r="K173" s="296"/>
    </row>
    <row r="174" spans="1:11" ht="15" customHeight="1" outlineLevel="1">
      <c r="A174">
        <v>0.3</v>
      </c>
      <c r="B174" s="296">
        <v>1.8637999999999999</v>
      </c>
      <c r="C174" s="296"/>
      <c r="D174" s="296"/>
      <c r="E174" s="296"/>
      <c r="F174" s="296"/>
      <c r="G174" s="296"/>
      <c r="H174" s="296"/>
      <c r="I174" s="296"/>
      <c r="J174" s="296"/>
      <c r="K174" s="296"/>
    </row>
    <row r="175" spans="1:11" ht="15" customHeight="1" outlineLevel="1">
      <c r="A175">
        <v>0.5</v>
      </c>
      <c r="B175" s="296">
        <v>2.0529999999999999</v>
      </c>
      <c r="C175" s="296"/>
      <c r="D175" s="296"/>
      <c r="E175" s="296"/>
      <c r="F175" s="296"/>
      <c r="G175" s="296"/>
      <c r="H175" s="296"/>
      <c r="I175" s="296"/>
      <c r="J175" s="296"/>
      <c r="K175" s="296"/>
    </row>
    <row r="176" spans="1:11" ht="15" customHeight="1" outlineLevel="1">
      <c r="A176">
        <v>0.7</v>
      </c>
      <c r="B176" s="296">
        <v>2.4897</v>
      </c>
      <c r="C176" s="296"/>
      <c r="D176" s="296"/>
      <c r="E176" s="296"/>
      <c r="F176" s="296"/>
      <c r="G176" s="296"/>
      <c r="H176" s="296"/>
      <c r="I176" s="296"/>
      <c r="J176" s="296"/>
      <c r="K176" s="296"/>
    </row>
    <row r="177" spans="1:11" ht="15" customHeight="1" outlineLevel="1">
      <c r="A177">
        <v>1</v>
      </c>
      <c r="B177" s="296">
        <v>28.213824634343929</v>
      </c>
      <c r="C177" s="296"/>
      <c r="D177" s="296"/>
      <c r="E177" s="296"/>
      <c r="F177" s="296"/>
      <c r="G177" s="296"/>
      <c r="H177" s="296"/>
      <c r="I177" s="296"/>
      <c r="J177" s="296"/>
      <c r="K177" s="296"/>
    </row>
    <row r="178" spans="1:11" ht="15" customHeight="1" outlineLevel="1">
      <c r="A178">
        <v>1.5</v>
      </c>
      <c r="B178" s="296">
        <v>3.5777000000000001</v>
      </c>
      <c r="C178" s="296"/>
      <c r="D178" s="296"/>
      <c r="E178" s="296"/>
      <c r="F178" s="296"/>
      <c r="G178" s="296"/>
      <c r="H178" s="296"/>
      <c r="I178" s="296"/>
      <c r="J178" s="296"/>
      <c r="K178" s="296"/>
    </row>
    <row r="179" spans="1:11" ht="15" customHeight="1" outlineLevel="1">
      <c r="A179">
        <v>2</v>
      </c>
      <c r="B179" s="296">
        <v>2.3094000000000001</v>
      </c>
      <c r="C179" s="296"/>
      <c r="D179" s="296"/>
      <c r="E179" s="296"/>
      <c r="F179" s="296"/>
      <c r="G179" s="296"/>
      <c r="H179" s="296"/>
      <c r="I179" s="296"/>
      <c r="J179" s="296"/>
      <c r="K179" s="296"/>
    </row>
    <row r="180" spans="1:11" ht="15" customHeight="1" outlineLevel="1">
      <c r="A180">
        <v>3</v>
      </c>
      <c r="B180" s="296">
        <v>1.4141999999999999</v>
      </c>
      <c r="C180" s="296"/>
      <c r="D180" s="296"/>
      <c r="E180" s="296"/>
      <c r="F180" s="296"/>
      <c r="G180" s="296"/>
      <c r="H180" s="296"/>
      <c r="I180" s="296"/>
      <c r="J180" s="296"/>
      <c r="K180" s="296"/>
    </row>
    <row r="181" spans="1:11" ht="15" customHeight="1" outlineLevel="1">
      <c r="A181">
        <v>5</v>
      </c>
      <c r="B181" s="296">
        <v>0.8165</v>
      </c>
      <c r="C181" s="296"/>
      <c r="D181" s="296"/>
      <c r="E181" s="296"/>
      <c r="F181" s="296"/>
      <c r="G181" s="296"/>
      <c r="H181" s="296"/>
      <c r="I181" s="296"/>
      <c r="J181" s="296"/>
      <c r="K181" s="296"/>
    </row>
    <row r="183" spans="1:11" ht="15" customHeight="1">
      <c r="A183" s="316" t="s">
        <v>592</v>
      </c>
    </row>
    <row r="184" spans="1:11" ht="15" customHeight="1">
      <c r="A184" s="323" t="s">
        <v>593</v>
      </c>
    </row>
    <row r="185" spans="1:11" ht="15" customHeight="1">
      <c r="A185" t="s">
        <v>598</v>
      </c>
      <c r="B185" s="222">
        <f>IF(B6&lt;1,B93,B94)</f>
        <v>1.7811871342984904</v>
      </c>
      <c r="C185" s="222">
        <f t="shared" ref="C185:I185" si="302">IF(C6&lt;1,C93,C94)</f>
        <v>1.7869352319645568</v>
      </c>
      <c r="D185" s="222">
        <f t="shared" si="302"/>
        <v>1.8638274893064417</v>
      </c>
      <c r="E185" s="222">
        <f t="shared" si="302"/>
        <v>2.0530322770652725</v>
      </c>
      <c r="F185" s="222">
        <f t="shared" si="302"/>
        <v>2.4896673326889589</v>
      </c>
      <c r="G185" s="222">
        <f t="shared" si="302"/>
        <v>28.213824634343929</v>
      </c>
      <c r="H185" s="222">
        <f t="shared" si="302"/>
        <v>3.5777087639996634</v>
      </c>
      <c r="I185" s="222">
        <f t="shared" si="302"/>
        <v>2.3094010767585034</v>
      </c>
      <c r="J185" s="222">
        <f t="shared" ref="J185:K185" si="303">IF(J6&lt;1,J93,J94)</f>
        <v>1.4142135623730949</v>
      </c>
      <c r="K185" s="222">
        <f t="shared" si="303"/>
        <v>0.81649658092772615</v>
      </c>
    </row>
    <row r="186" spans="1:11" ht="15" customHeight="1">
      <c r="A186" t="s">
        <v>594</v>
      </c>
      <c r="B186" s="222">
        <v>1.5</v>
      </c>
      <c r="C186" s="222">
        <v>1.5</v>
      </c>
      <c r="D186" s="222">
        <v>1.5</v>
      </c>
      <c r="E186" s="222">
        <v>1.5</v>
      </c>
      <c r="F186" s="222">
        <v>1.5</v>
      </c>
      <c r="G186" s="222">
        <v>1.5</v>
      </c>
      <c r="H186" s="222">
        <v>1.5</v>
      </c>
      <c r="I186" s="222">
        <v>1.5</v>
      </c>
      <c r="J186" s="222">
        <v>1.5</v>
      </c>
      <c r="K186" s="222">
        <v>1.5</v>
      </c>
    </row>
    <row r="187" spans="1:11" ht="15" customHeight="1">
      <c r="A187" t="s">
        <v>595</v>
      </c>
      <c r="B187" s="222">
        <f>B34*B186</f>
        <v>0.1905</v>
      </c>
      <c r="C187" s="222">
        <f t="shared" ref="C187:I187" si="304">C34*C186</f>
        <v>0.1905</v>
      </c>
      <c r="D187" s="222">
        <f t="shared" si="304"/>
        <v>0.1905</v>
      </c>
      <c r="E187" s="222">
        <f t="shared" si="304"/>
        <v>0.1905</v>
      </c>
      <c r="F187" s="222">
        <f t="shared" si="304"/>
        <v>0.1905</v>
      </c>
      <c r="G187" s="222">
        <f t="shared" si="304"/>
        <v>0.1905</v>
      </c>
      <c r="H187" s="222">
        <f t="shared" si="304"/>
        <v>0.1905</v>
      </c>
      <c r="I187" s="222">
        <f t="shared" si="304"/>
        <v>0.1905</v>
      </c>
      <c r="J187" s="222">
        <f t="shared" ref="J187" si="305">J34*J186</f>
        <v>0.1905</v>
      </c>
      <c r="K187" s="222">
        <f t="shared" ref="K187" si="306">K34*K186</f>
        <v>0.1905</v>
      </c>
    </row>
    <row r="188" spans="1:11" ht="15" customHeight="1">
      <c r="A188" t="s">
        <v>599</v>
      </c>
      <c r="B188" s="320">
        <v>2</v>
      </c>
      <c r="C188" s="320">
        <v>2</v>
      </c>
      <c r="D188" s="320">
        <v>2</v>
      </c>
      <c r="E188" s="320">
        <v>2</v>
      </c>
      <c r="F188" s="320">
        <v>2</v>
      </c>
      <c r="G188" s="320">
        <v>2</v>
      </c>
      <c r="H188" s="320">
        <v>2</v>
      </c>
      <c r="I188" s="320">
        <v>2</v>
      </c>
      <c r="J188" s="320">
        <v>2</v>
      </c>
      <c r="K188" s="320">
        <v>2</v>
      </c>
    </row>
    <row r="189" spans="1:11" ht="15" hidden="1" customHeight="1" outlineLevel="1">
      <c r="A189">
        <v>0.1</v>
      </c>
      <c r="B189" s="222">
        <f t="shared" ref="B189:B197" si="307">ATAN((-B$187*$A189)/B$3)</f>
        <v>-9.6627024510746956E-4</v>
      </c>
      <c r="C189" s="222">
        <f t="shared" ref="C189:K189" si="308">ATAN((-C$187*$A189)/C$3)</f>
        <v>-5.5982271344528047E-4</v>
      </c>
      <c r="D189" s="222">
        <f t="shared" si="308"/>
        <v>-1.8660758847675079E-4</v>
      </c>
      <c r="E189" s="222">
        <f t="shared" si="308"/>
        <v>-1.1196455391781017E-4</v>
      </c>
      <c r="F189" s="222">
        <f t="shared" si="308"/>
        <v>-7.9974681533548906E-5</v>
      </c>
      <c r="G189" s="222">
        <f t="shared" si="308"/>
        <v>-5.5982277134354399E-5</v>
      </c>
      <c r="H189" s="222">
        <f t="shared" si="308"/>
        <v>-3.7321518111230009E-5</v>
      </c>
      <c r="I189" s="222">
        <f t="shared" si="308"/>
        <v>-2.7991138589108363E-5</v>
      </c>
      <c r="J189" s="222">
        <f t="shared" si="308"/>
        <v>-1.866075906211313E-5</v>
      </c>
      <c r="K189" s="222">
        <f t="shared" si="308"/>
        <v>-1.1196455438099635E-5</v>
      </c>
    </row>
    <row r="190" spans="1:11" ht="15" hidden="1" customHeight="1" outlineLevel="1">
      <c r="A190">
        <v>0.5</v>
      </c>
      <c r="B190" s="222">
        <f t="shared" si="307"/>
        <v>-4.8313151386112649E-3</v>
      </c>
      <c r="C190" s="222">
        <f t="shared" ref="C190:K197" si="309">ATAN((-C$187*$A190)/C$3)</f>
        <v>-2.7991065492880499E-3</v>
      </c>
      <c r="D190" s="222">
        <f t="shared" si="309"/>
        <v>-9.3303768245898153E-4</v>
      </c>
      <c r="E190" s="222">
        <f t="shared" si="309"/>
        <v>-5.5982271344528047E-4</v>
      </c>
      <c r="F190" s="222">
        <f t="shared" si="309"/>
        <v>-3.998733872071848E-4</v>
      </c>
      <c r="G190" s="222">
        <f t="shared" si="309"/>
        <v>-2.7991137865379965E-4</v>
      </c>
      <c r="H190" s="222">
        <f t="shared" si="309"/>
        <v>-1.8660758847675079E-4</v>
      </c>
      <c r="I190" s="222">
        <f t="shared" si="309"/>
        <v>-1.3995569206829523E-4</v>
      </c>
      <c r="J190" s="222">
        <f t="shared" si="309"/>
        <v>-9.3303795050640731E-5</v>
      </c>
      <c r="K190" s="222">
        <f t="shared" si="309"/>
        <v>-5.5982277134354392E-5</v>
      </c>
    </row>
    <row r="191" spans="1:11" ht="15" hidden="1" customHeight="1" outlineLevel="1">
      <c r="A191">
        <v>0.8</v>
      </c>
      <c r="B191" s="222">
        <f t="shared" si="307"/>
        <v>-7.7300103990814639E-3</v>
      </c>
      <c r="C191" s="222">
        <f t="shared" si="309"/>
        <v>-4.4785522324373196E-3</v>
      </c>
      <c r="D191" s="222">
        <f t="shared" si="309"/>
        <v>-1.4928596161308523E-3</v>
      </c>
      <c r="E191" s="222">
        <f t="shared" si="309"/>
        <v>-8.9571619553871517E-4</v>
      </c>
      <c r="F191" s="222">
        <f t="shared" si="309"/>
        <v>-6.3979736633405359E-4</v>
      </c>
      <c r="G191" s="222">
        <f t="shared" si="309"/>
        <v>-4.4785818759935362E-4</v>
      </c>
      <c r="H191" s="222">
        <f t="shared" si="309"/>
        <v>-2.9857213615636346E-4</v>
      </c>
      <c r="I191" s="222">
        <f t="shared" si="309"/>
        <v>-2.2392910502843136E-4</v>
      </c>
      <c r="J191" s="222">
        <f t="shared" si="309"/>
        <v>-1.4928607140522041E-4</v>
      </c>
      <c r="K191" s="222">
        <f t="shared" si="309"/>
        <v>-8.9571643268993208E-5</v>
      </c>
    </row>
    <row r="192" spans="1:11" ht="15" hidden="1" customHeight="1" outlineLevel="1">
      <c r="A192">
        <v>1</v>
      </c>
      <c r="B192" s="222">
        <f t="shared" si="307"/>
        <v>-9.66240474644239E-3</v>
      </c>
      <c r="C192" s="222">
        <f t="shared" si="309"/>
        <v>-5.598169237277917E-3</v>
      </c>
      <c r="D192" s="222">
        <f t="shared" si="309"/>
        <v>-1.8660737403914966E-3</v>
      </c>
      <c r="E192" s="222">
        <f t="shared" si="309"/>
        <v>-1.1196450759922577E-3</v>
      </c>
      <c r="F192" s="222">
        <f t="shared" si="309"/>
        <v>-7.9974664653592034E-4</v>
      </c>
      <c r="G192" s="222">
        <f t="shared" si="309"/>
        <v>-5.5982271344528047E-4</v>
      </c>
      <c r="H192" s="222">
        <f t="shared" si="309"/>
        <v>-3.7321516395725726E-4</v>
      </c>
      <c r="I192" s="222">
        <f t="shared" si="309"/>
        <v>-2.7991137865379965E-4</v>
      </c>
      <c r="J192" s="222">
        <f t="shared" si="309"/>
        <v>-1.8660758847675079E-4</v>
      </c>
      <c r="K192" s="222">
        <f t="shared" si="309"/>
        <v>-1.1196455391781015E-4</v>
      </c>
    </row>
    <row r="193" spans="1:11" ht="15" hidden="1" customHeight="1" outlineLevel="1">
      <c r="A193">
        <v>5</v>
      </c>
      <c r="B193" s="222">
        <f t="shared" si="307"/>
        <v>-4.8275988755673536E-2</v>
      </c>
      <c r="C193" s="222">
        <f t="shared" si="309"/>
        <v>-2.7983831642935584E-2</v>
      </c>
      <c r="D193" s="222">
        <f t="shared" si="309"/>
        <v>-9.3301087911630172E-3</v>
      </c>
      <c r="E193" s="222">
        <f t="shared" si="309"/>
        <v>-5.598169237277917E-3</v>
      </c>
      <c r="F193" s="222">
        <f t="shared" si="309"/>
        <v>-3.9987127723220472E-3</v>
      </c>
      <c r="G193" s="222">
        <f t="shared" si="309"/>
        <v>-2.7991065492880499E-3</v>
      </c>
      <c r="H193" s="222">
        <f t="shared" si="309"/>
        <v>-1.8660737403914968E-3</v>
      </c>
      <c r="I193" s="222">
        <f t="shared" si="309"/>
        <v>-1.3995560160234876E-3</v>
      </c>
      <c r="J193" s="222">
        <f t="shared" si="309"/>
        <v>-9.3303768245898164E-4</v>
      </c>
      <c r="K193" s="222">
        <f t="shared" si="309"/>
        <v>-5.5982271344528047E-4</v>
      </c>
    </row>
    <row r="194" spans="1:11" ht="15" hidden="1" customHeight="1" outlineLevel="1">
      <c r="A194">
        <v>10</v>
      </c>
      <c r="B194" s="222">
        <f t="shared" si="307"/>
        <v>-9.6327999369249143E-2</v>
      </c>
      <c r="C194" s="222">
        <f t="shared" si="309"/>
        <v>-5.5923903813893873E-2</v>
      </c>
      <c r="D194" s="222">
        <f t="shared" si="309"/>
        <v>-1.8658593475781412E-2</v>
      </c>
      <c r="E194" s="222">
        <f t="shared" si="309"/>
        <v>-1.1195987608911197E-2</v>
      </c>
      <c r="F194" s="222">
        <f t="shared" si="309"/>
        <v>-7.997297672267447E-3</v>
      </c>
      <c r="G194" s="222">
        <f t="shared" si="309"/>
        <v>-5.598169237277917E-3</v>
      </c>
      <c r="H194" s="222">
        <f t="shared" si="309"/>
        <v>-3.7321344846730871E-3</v>
      </c>
      <c r="I194" s="222">
        <f t="shared" si="309"/>
        <v>-2.7991065492880499E-3</v>
      </c>
      <c r="J194" s="222">
        <f t="shared" si="309"/>
        <v>-1.8660737403914968E-3</v>
      </c>
      <c r="K194" s="222">
        <f t="shared" si="309"/>
        <v>-1.1196450759922577E-3</v>
      </c>
    </row>
    <row r="195" spans="1:11" ht="15" hidden="1" customHeight="1" outlineLevel="1">
      <c r="A195">
        <v>20</v>
      </c>
      <c r="B195" s="222">
        <f t="shared" si="307"/>
        <v>-0.19090079198471077</v>
      </c>
      <c r="C195" s="222">
        <f t="shared" si="309"/>
        <v>-0.11150017744374538</v>
      </c>
      <c r="D195" s="222">
        <f t="shared" si="309"/>
        <v>-3.7304204268532669E-2</v>
      </c>
      <c r="E195" s="222">
        <f t="shared" si="309"/>
        <v>-2.2389169084092855E-2</v>
      </c>
      <c r="F195" s="222">
        <f t="shared" si="309"/>
        <v>-1.5993572512709234E-2</v>
      </c>
      <c r="G195" s="222">
        <f t="shared" si="309"/>
        <v>-1.1195987608911197E-2</v>
      </c>
      <c r="H195" s="222">
        <f t="shared" si="309"/>
        <v>-7.4641650037251834E-3</v>
      </c>
      <c r="I195" s="222">
        <f t="shared" si="309"/>
        <v>-5.598169237277917E-3</v>
      </c>
      <c r="J195" s="222">
        <f t="shared" si="309"/>
        <v>-3.7321344846730871E-3</v>
      </c>
      <c r="K195" s="222">
        <f t="shared" si="309"/>
        <v>-2.2392873448060071E-3</v>
      </c>
    </row>
    <row r="196" spans="1:11" ht="15" hidden="1" customHeight="1" outlineLevel="1">
      <c r="A196">
        <v>50</v>
      </c>
      <c r="B196" s="222">
        <f t="shared" si="307"/>
        <v>-0.45006503043680784</v>
      </c>
      <c r="C196" s="222">
        <f t="shared" si="309"/>
        <v>-0.2729265294271222</v>
      </c>
      <c r="D196" s="222">
        <f t="shared" si="309"/>
        <v>-9.3034445719270636E-2</v>
      </c>
      <c r="E196" s="222">
        <f t="shared" si="309"/>
        <v>-5.5923903813893873E-2</v>
      </c>
      <c r="F196" s="222">
        <f t="shared" si="309"/>
        <v>-3.9966048191208914E-2</v>
      </c>
      <c r="G196" s="222">
        <f t="shared" si="309"/>
        <v>-2.7983831642935584E-2</v>
      </c>
      <c r="H196" s="222">
        <f t="shared" si="309"/>
        <v>-1.8658593475781412E-2</v>
      </c>
      <c r="I196" s="222">
        <f t="shared" si="309"/>
        <v>-1.3994655607065129E-2</v>
      </c>
      <c r="J196" s="222">
        <f t="shared" si="309"/>
        <v>-9.3301087911630172E-3</v>
      </c>
      <c r="K196" s="222">
        <f t="shared" si="309"/>
        <v>-5.598169237277917E-3</v>
      </c>
    </row>
    <row r="197" spans="1:11" ht="15" hidden="1" customHeight="1" outlineLevel="1">
      <c r="A197">
        <v>100</v>
      </c>
      <c r="B197" s="222">
        <f t="shared" si="307"/>
        <v>-0.76824582065236424</v>
      </c>
      <c r="C197" s="222">
        <f t="shared" si="309"/>
        <v>-0.51035339388552659</v>
      </c>
      <c r="D197" s="222">
        <f t="shared" si="309"/>
        <v>-0.1844857097185201</v>
      </c>
      <c r="E197" s="222">
        <f t="shared" si="309"/>
        <v>-0.11150017744374538</v>
      </c>
      <c r="F197" s="222">
        <f t="shared" si="309"/>
        <v>-7.9804828372316464E-2</v>
      </c>
      <c r="G197" s="222">
        <f t="shared" si="309"/>
        <v>-5.5923903813893873E-2</v>
      </c>
      <c r="H197" s="222">
        <f t="shared" si="309"/>
        <v>-3.7304204268532669E-2</v>
      </c>
      <c r="I197" s="222">
        <f t="shared" si="309"/>
        <v>-2.7983831642935584E-2</v>
      </c>
      <c r="J197" s="222">
        <f t="shared" si="309"/>
        <v>-1.8658593475781412E-2</v>
      </c>
      <c r="K197" s="222">
        <f t="shared" si="309"/>
        <v>-1.1195987608911197E-2</v>
      </c>
    </row>
    <row r="198" spans="1:11" ht="15" customHeight="1" collapsed="1">
      <c r="A198" t="s">
        <v>600</v>
      </c>
    </row>
    <row r="199" spans="1:11" ht="15" hidden="1" customHeight="1" outlineLevel="1">
      <c r="A199">
        <v>0.1</v>
      </c>
      <c r="B199" s="222">
        <f>DEGREES(B189)</f>
        <v>-5.536320691372959E-2</v>
      </c>
      <c r="C199" s="222">
        <f t="shared" ref="C199:I199" si="310">DEGREES(C189)</f>
        <v>-3.2075478755976258E-2</v>
      </c>
      <c r="D199" s="222">
        <f t="shared" si="310"/>
        <v>-1.0691827244831914E-2</v>
      </c>
      <c r="E199" s="222">
        <f t="shared" si="310"/>
        <v>-6.4150963945554685E-3</v>
      </c>
      <c r="F199" s="222">
        <f t="shared" si="310"/>
        <v>-4.5822117197751944E-3</v>
      </c>
      <c r="G199" s="222">
        <f t="shared" si="310"/>
        <v>-3.20754820733024E-3</v>
      </c>
      <c r="H199" s="222">
        <f t="shared" si="310"/>
        <v>-2.1383654727945432E-3</v>
      </c>
      <c r="I199" s="222">
        <f t="shared" si="310"/>
        <v>-1.603774104921683E-3</v>
      </c>
      <c r="J199" s="222">
        <f t="shared" ref="J199:K199" si="311">DEGREES(J189)</f>
        <v>-1.0691827367695869E-3</v>
      </c>
      <c r="K199" s="222">
        <f t="shared" si="311"/>
        <v>-6.4150964210940825E-4</v>
      </c>
    </row>
    <row r="200" spans="1:11" ht="15" hidden="1" customHeight="1" outlineLevel="1">
      <c r="A200">
        <v>0.5</v>
      </c>
      <c r="B200" s="222">
        <f t="shared" ref="B200" si="312">DEGREES(B190)</f>
        <v>-0.27681396694008781</v>
      </c>
      <c r="C200" s="222">
        <f t="shared" ref="C200:I200" si="313">DEGREES(C190)</f>
        <v>-0.1603769916816328</v>
      </c>
      <c r="D200" s="222">
        <f t="shared" si="313"/>
        <v>-5.3459121331567126E-2</v>
      </c>
      <c r="E200" s="222">
        <f t="shared" si="313"/>
        <v>-3.2075478755976258E-2</v>
      </c>
      <c r="F200" s="222">
        <f t="shared" si="313"/>
        <v>-2.2911057426572255E-2</v>
      </c>
      <c r="G200" s="222">
        <f t="shared" si="313"/>
        <v>-1.6037740634551004E-2</v>
      </c>
      <c r="H200" s="222">
        <f t="shared" si="313"/>
        <v>-1.0691827244831914E-2</v>
      </c>
      <c r="I200" s="222">
        <f t="shared" si="313"/>
        <v>-8.0188704743458881E-3</v>
      </c>
      <c r="J200" s="222">
        <f t="shared" ref="J200:K200" si="314">DEGREES(J190)</f>
        <v>-5.3459136689553328E-3</v>
      </c>
      <c r="K200" s="222">
        <f t="shared" si="314"/>
        <v>-3.2075482073302395E-3</v>
      </c>
    </row>
    <row r="201" spans="1:11" ht="15" hidden="1" customHeight="1" outlineLevel="1">
      <c r="A201">
        <v>0.8</v>
      </c>
      <c r="B201" s="222">
        <f t="shared" ref="B201" si="315">DEGREES(B191)</f>
        <v>-0.44289697145960505</v>
      </c>
      <c r="C201" s="222">
        <f t="shared" ref="C201:I201" si="316">DEGREES(C191)</f>
        <v>-0.25660214124755126</v>
      </c>
      <c r="D201" s="222">
        <f t="shared" si="316"/>
        <v>-8.5534555409818025E-2</v>
      </c>
      <c r="E201" s="222">
        <f t="shared" si="316"/>
        <v>-5.1320757645883154E-2</v>
      </c>
      <c r="F201" s="222">
        <f t="shared" si="316"/>
        <v>-3.6657688834526692E-2</v>
      </c>
      <c r="G201" s="222">
        <f t="shared" si="316"/>
        <v>-2.5660383969821225E-2</v>
      </c>
      <c r="H201" s="222">
        <f t="shared" si="316"/>
        <v>-1.7106923281964996E-2</v>
      </c>
      <c r="I201" s="222">
        <f t="shared" si="316"/>
        <v>-1.2830192628270858E-2</v>
      </c>
      <c r="J201" s="222">
        <f t="shared" ref="J201:K201" si="317">DEGREES(J191)</f>
        <v>-8.5534618316077723E-3</v>
      </c>
      <c r="K201" s="222">
        <f t="shared" si="317"/>
        <v>-5.1320771233646992E-3</v>
      </c>
    </row>
    <row r="202" spans="1:11" ht="15" hidden="1" customHeight="1" outlineLevel="1">
      <c r="A202">
        <v>1</v>
      </c>
      <c r="B202" s="222">
        <f t="shared" ref="B202" si="318">DEGREES(B192)</f>
        <v>-0.5536150119183233</v>
      </c>
      <c r="C202" s="222">
        <f t="shared" ref="C202:I202" si="319">DEGREES(C192)</f>
        <v>-0.32075147029599577</v>
      </c>
      <c r="D202" s="222">
        <f t="shared" si="319"/>
        <v>-0.10691814958462401</v>
      </c>
      <c r="E202" s="222">
        <f t="shared" si="319"/>
        <v>-6.4150937406960692E-2</v>
      </c>
      <c r="F202" s="222">
        <f t="shared" si="319"/>
        <v>-4.5822107526249073E-2</v>
      </c>
      <c r="G202" s="222">
        <f t="shared" si="319"/>
        <v>-3.2075478755976258E-2</v>
      </c>
      <c r="H202" s="222">
        <f t="shared" si="319"/>
        <v>-2.1383653745033881E-2</v>
      </c>
      <c r="I202" s="222">
        <f t="shared" si="319"/>
        <v>-1.6037740634551004E-2</v>
      </c>
      <c r="J202" s="222">
        <f t="shared" ref="J202:K202" si="320">DEGREES(J192)</f>
        <v>-1.0691827244831914E-2</v>
      </c>
      <c r="K202" s="222">
        <f t="shared" si="320"/>
        <v>-6.4150963945554685E-3</v>
      </c>
    </row>
    <row r="203" spans="1:11" ht="15" hidden="1" customHeight="1" outlineLevel="1">
      <c r="A203">
        <v>5</v>
      </c>
      <c r="B203" s="222">
        <f t="shared" ref="B203" si="321">DEGREES(B193)</f>
        <v>-2.7660104075211125</v>
      </c>
      <c r="C203" s="222">
        <f t="shared" ref="C203:I203" si="322">DEGREES(C193)</f>
        <v>-1.6033554477448535</v>
      </c>
      <c r="D203" s="222">
        <f t="shared" si="322"/>
        <v>-0.53457585613154723</v>
      </c>
      <c r="E203" s="222">
        <f t="shared" si="322"/>
        <v>-0.32075147029599577</v>
      </c>
      <c r="F203" s="222">
        <f t="shared" si="322"/>
        <v>-0.22910936533911017</v>
      </c>
      <c r="G203" s="222">
        <f t="shared" si="322"/>
        <v>-0.1603769916816328</v>
      </c>
      <c r="H203" s="222">
        <f t="shared" si="322"/>
        <v>-0.10691814958462402</v>
      </c>
      <c r="I203" s="222">
        <f t="shared" si="322"/>
        <v>-8.0188652910289662E-2</v>
      </c>
      <c r="J203" s="222">
        <f t="shared" ref="J203:K203" si="323">DEGREES(J193)</f>
        <v>-5.3459121331567133E-2</v>
      </c>
      <c r="K203" s="222">
        <f t="shared" si="323"/>
        <v>-3.2075478755976258E-2</v>
      </c>
    </row>
    <row r="204" spans="1:11" ht="15" hidden="1" customHeight="1" outlineLevel="1">
      <c r="A204">
        <v>10</v>
      </c>
      <c r="B204" s="222">
        <f t="shared" ref="B204" si="324">DEGREES(B194)</f>
        <v>-5.5191878127968321</v>
      </c>
      <c r="C204" s="222">
        <f t="shared" ref="C204:I204" si="325">DEGREES(C194)</f>
        <v>-3.204203662431687</v>
      </c>
      <c r="D204" s="222">
        <f t="shared" si="325"/>
        <v>-1.069058657812608</v>
      </c>
      <c r="E204" s="222">
        <f t="shared" si="325"/>
        <v>-0.64148283747137769</v>
      </c>
      <c r="F204" s="222">
        <f t="shared" si="325"/>
        <v>-0.45821140413072214</v>
      </c>
      <c r="G204" s="222">
        <f t="shared" si="325"/>
        <v>-0.32075147029599577</v>
      </c>
      <c r="H204" s="222">
        <f t="shared" si="325"/>
        <v>-0.21383555454700032</v>
      </c>
      <c r="I204" s="222">
        <f t="shared" si="325"/>
        <v>-0.1603769916816328</v>
      </c>
      <c r="J204" s="222">
        <f t="shared" ref="J204:K204" si="326">DEGREES(J194)</f>
        <v>-0.10691814958462402</v>
      </c>
      <c r="K204" s="222">
        <f t="shared" si="326"/>
        <v>-6.4150937406960692E-2</v>
      </c>
    </row>
    <row r="205" spans="1:11" ht="15" hidden="1" customHeight="1" outlineLevel="1">
      <c r="A205">
        <v>20</v>
      </c>
      <c r="B205" s="222">
        <f t="shared" ref="B205" si="327">DEGREES(B195)</f>
        <v>-10.937809686428782</v>
      </c>
      <c r="C205" s="222">
        <f t="shared" ref="C205:I205" si="328">DEGREES(C195)</f>
        <v>-6.3884895824863905</v>
      </c>
      <c r="D205" s="222">
        <f t="shared" si="328"/>
        <v>-2.1373734626808321</v>
      </c>
      <c r="E205" s="222">
        <f t="shared" si="328"/>
        <v>-1.2828048953233036</v>
      </c>
      <c r="F205" s="222">
        <f t="shared" si="328"/>
        <v>-0.91636420431468224</v>
      </c>
      <c r="G205" s="222">
        <f t="shared" si="328"/>
        <v>-0.64148283747137769</v>
      </c>
      <c r="H205" s="222">
        <f t="shared" si="328"/>
        <v>-0.42766515230270341</v>
      </c>
      <c r="I205" s="222">
        <f t="shared" si="328"/>
        <v>-0.32075147029599577</v>
      </c>
      <c r="J205" s="222">
        <f t="shared" ref="J205:K205" si="329">DEGREES(J195)</f>
        <v>-0.21383555454700032</v>
      </c>
      <c r="K205" s="222">
        <f t="shared" si="329"/>
        <v>-0.12830171397444054</v>
      </c>
    </row>
    <row r="206" spans="1:11" ht="15" hidden="1" customHeight="1" outlineLevel="1">
      <c r="A206">
        <v>50</v>
      </c>
      <c r="B206" s="222">
        <f t="shared" ref="B206" si="330">DEGREES(B196)</f>
        <v>-25.786826750456026</v>
      </c>
      <c r="C206" s="222">
        <f t="shared" ref="C206:I206" si="331">DEGREES(C196)</f>
        <v>-15.637538253327168</v>
      </c>
      <c r="D206" s="222">
        <f t="shared" si="331"/>
        <v>-5.3304810890531558</v>
      </c>
      <c r="E206" s="222">
        <f t="shared" si="331"/>
        <v>-3.204203662431687</v>
      </c>
      <c r="F206" s="222">
        <f t="shared" si="331"/>
        <v>-2.2898858851727284</v>
      </c>
      <c r="G206" s="222">
        <f t="shared" si="331"/>
        <v>-1.6033554477448535</v>
      </c>
      <c r="H206" s="222">
        <f t="shared" si="331"/>
        <v>-1.069058657812608</v>
      </c>
      <c r="I206" s="222">
        <f t="shared" si="331"/>
        <v>-0.80183470202392493</v>
      </c>
      <c r="J206" s="222">
        <f t="shared" ref="J206:K206" si="332">DEGREES(J196)</f>
        <v>-0.53457585613154723</v>
      </c>
      <c r="K206" s="222">
        <f t="shared" si="332"/>
        <v>-0.32075147029599577</v>
      </c>
    </row>
    <row r="207" spans="1:11" ht="15" hidden="1" customHeight="1" outlineLevel="1">
      <c r="A207">
        <v>100</v>
      </c>
      <c r="B207" s="222">
        <f t="shared" ref="B207" si="333">DEGREES(B197)</f>
        <v>-44.017243151944847</v>
      </c>
      <c r="C207" s="222">
        <f t="shared" ref="C207:I207" si="334">DEGREES(C197)</f>
        <v>-29.241095529818388</v>
      </c>
      <c r="D207" s="222">
        <f t="shared" si="334"/>
        <v>-10.570252547346836</v>
      </c>
      <c r="E207" s="222">
        <f t="shared" si="334"/>
        <v>-6.3884895824863905</v>
      </c>
      <c r="F207" s="222">
        <f t="shared" si="334"/>
        <v>-4.5724798504996205</v>
      </c>
      <c r="G207" s="222">
        <f t="shared" si="334"/>
        <v>-3.204203662431687</v>
      </c>
      <c r="H207" s="222">
        <f t="shared" si="334"/>
        <v>-2.1373734626808321</v>
      </c>
      <c r="I207" s="222">
        <f t="shared" si="334"/>
        <v>-1.6033554477448535</v>
      </c>
      <c r="J207" s="222">
        <f t="shared" ref="J207:K207" si="335">DEGREES(J197)</f>
        <v>-1.069058657812608</v>
      </c>
      <c r="K207" s="222">
        <f t="shared" si="335"/>
        <v>-0.64148283747137769</v>
      </c>
    </row>
    <row r="208" spans="1:11" ht="15" customHeight="1" collapsed="1"/>
    <row r="209" spans="1:11" ht="15" customHeight="1">
      <c r="A209" t="s">
        <v>597</v>
      </c>
      <c r="B209" s="222">
        <v>20</v>
      </c>
      <c r="C209" s="222">
        <v>20</v>
      </c>
      <c r="D209" s="222">
        <v>20</v>
      </c>
      <c r="E209" s="222">
        <v>20</v>
      </c>
      <c r="F209" s="222">
        <v>20</v>
      </c>
      <c r="G209" s="222">
        <v>20</v>
      </c>
      <c r="H209" s="222">
        <v>20</v>
      </c>
      <c r="I209" s="222">
        <v>20</v>
      </c>
      <c r="J209" s="222">
        <v>20</v>
      </c>
      <c r="K209" s="222">
        <v>20</v>
      </c>
    </row>
    <row r="210" spans="1:11" ht="15" customHeight="1">
      <c r="A210" t="s">
        <v>606</v>
      </c>
      <c r="B210" s="222">
        <f>B$185*VLOOKUP(B$209,$A$189:B$197,B$188,FALSE)</f>
        <v>-0.3400300346105592</v>
      </c>
      <c r="C210" s="222">
        <f>C$185*VLOOKUP(C$209,$A$189:C$197,C$188,FALSE)</f>
        <v>-0.34112735100741676</v>
      </c>
      <c r="D210" s="222">
        <f>D$185*VLOOKUP(D$209,$A$189:D$197,D$188,FALSE)</f>
        <v>-0.35580614383147474</v>
      </c>
      <c r="E210" s="222">
        <f>E$185*VLOOKUP(E$209,$A$189:E$197,E$188,FALSE)</f>
        <v>-0.39192548766193469</v>
      </c>
      <c r="F210" s="222">
        <f>F$185*VLOOKUP(F$209,$A$189:F$197,F$188,FALSE)</f>
        <v>-0.47527946558878464</v>
      </c>
      <c r="G210" s="222">
        <f>G$185*VLOOKUP(G$209,$A$189:G$197,G$188,FALSE)</f>
        <v>-5.3860414676139987</v>
      </c>
      <c r="H210" s="222">
        <f>H$185*VLOOKUP(H$209,$A$189:H$197,H$188,FALSE)</f>
        <v>-0.6829874365381764</v>
      </c>
      <c r="I210" s="222">
        <f>I$185*VLOOKUP(I$209,$A$189:I$197,I$188,FALSE)</f>
        <v>-0.4408664945635421</v>
      </c>
      <c r="J210" s="222">
        <f>J$185*VLOOKUP(J$209,$A$189:J$197,J$188,FALSE)</f>
        <v>-0.26997448909254301</v>
      </c>
      <c r="K210" s="222">
        <f>K$185*VLOOKUP(K$209,$A$189:K$197,K$188,FALSE)</f>
        <v>-0.15586984395191142</v>
      </c>
    </row>
    <row r="211" spans="1:11" ht="15" customHeight="1">
      <c r="A211" t="s">
        <v>391</v>
      </c>
    </row>
    <row r="212" spans="1:11" ht="15" hidden="1" customHeight="1" outlineLevel="1">
      <c r="A212">
        <v>1</v>
      </c>
      <c r="B212" s="222">
        <f t="shared" ref="B212:B221" si="336">B$29*(B81)*B$210</f>
        <v>-0.17195955887356679</v>
      </c>
      <c r="C212" s="222">
        <f t="shared" ref="C212:I212" si="337">C$29*(C81)*C$210</f>
        <v>-0.48087090759721729</v>
      </c>
      <c r="D212" s="222">
        <f t="shared" si="337"/>
        <v>-4.5140660966311259</v>
      </c>
      <c r="E212" s="222">
        <f t="shared" si="337"/>
        <v>-13.811965267949075</v>
      </c>
      <c r="F212" s="222">
        <f t="shared" si="337"/>
        <v>-32.828957566573074</v>
      </c>
      <c r="G212" s="222">
        <f t="shared" si="337"/>
        <v>-759.24449952166992</v>
      </c>
      <c r="H212" s="222">
        <f t="shared" si="337"/>
        <v>-216.62431109974389</v>
      </c>
      <c r="I212" s="222">
        <f t="shared" si="337"/>
        <v>-248.58736274754455</v>
      </c>
      <c r="J212" s="222">
        <f t="shared" ref="J212:K212" si="338">J$29*(J81)*J$210</f>
        <v>-342.51310982004264</v>
      </c>
      <c r="K212" s="222">
        <f t="shared" si="338"/>
        <v>-549.30565598771534</v>
      </c>
    </row>
    <row r="213" spans="1:11" ht="15" hidden="1" customHeight="1" outlineLevel="1">
      <c r="A213">
        <v>2</v>
      </c>
      <c r="B213" s="222">
        <f t="shared" si="336"/>
        <v>-0.16658582265876787</v>
      </c>
      <c r="C213" s="222">
        <f t="shared" ref="C213:I213" si="339">C$29*(C82)*C$210</f>
        <v>-0.46584369173480439</v>
      </c>
      <c r="D213" s="222">
        <f t="shared" si="339"/>
        <v>-4.3730015311114041</v>
      </c>
      <c r="E213" s="222">
        <f t="shared" si="339"/>
        <v>-13.380341353325669</v>
      </c>
      <c r="F213" s="222">
        <f t="shared" si="339"/>
        <v>-31.803052642617672</v>
      </c>
      <c r="G213" s="222">
        <f t="shared" si="339"/>
        <v>-735.5181089116179</v>
      </c>
      <c r="H213" s="222">
        <f t="shared" si="339"/>
        <v>-209.85480137787698</v>
      </c>
      <c r="I213" s="222">
        <f t="shared" si="339"/>
        <v>-240.8190076616838</v>
      </c>
      <c r="J213" s="222">
        <f t="shared" ref="J213:K213" si="340">J$29*(J82)*J$210</f>
        <v>-331.80957513816639</v>
      </c>
      <c r="K213" s="222">
        <f t="shared" si="340"/>
        <v>-532.13985423809936</v>
      </c>
    </row>
    <row r="214" spans="1:11" ht="15" hidden="1" customHeight="1" outlineLevel="1">
      <c r="A214">
        <v>3</v>
      </c>
      <c r="B214" s="222">
        <f t="shared" si="336"/>
        <v>-0.16121208644396887</v>
      </c>
      <c r="C214" s="222">
        <f t="shared" ref="C214:I214" si="341">C$29*(C83)*C$210</f>
        <v>-0.45081647587239121</v>
      </c>
      <c r="D214" s="222">
        <f t="shared" si="341"/>
        <v>-4.2319369655916805</v>
      </c>
      <c r="E214" s="222">
        <f t="shared" si="341"/>
        <v>-12.948717438702259</v>
      </c>
      <c r="F214" s="222">
        <f t="shared" si="341"/>
        <v>-30.77714771866226</v>
      </c>
      <c r="G214" s="222">
        <f t="shared" si="341"/>
        <v>-711.79171830156565</v>
      </c>
      <c r="H214" s="222">
        <f t="shared" si="341"/>
        <v>-203.08529165600993</v>
      </c>
      <c r="I214" s="222">
        <f t="shared" si="341"/>
        <v>-233.05065257582302</v>
      </c>
      <c r="J214" s="222">
        <f t="shared" ref="J214:K214" si="342">J$29*(J83)*J$210</f>
        <v>-321.10604045628997</v>
      </c>
      <c r="K214" s="222">
        <f t="shared" si="342"/>
        <v>-514.97405248848315</v>
      </c>
    </row>
    <row r="215" spans="1:11" ht="15" hidden="1" customHeight="1" outlineLevel="1">
      <c r="A215">
        <v>4</v>
      </c>
      <c r="B215" s="222">
        <f t="shared" si="336"/>
        <v>-0.15583835022916995</v>
      </c>
      <c r="C215" s="222">
        <f t="shared" ref="C215:I215" si="343">C$29*(C84)*C$210</f>
        <v>-0.43578926000997831</v>
      </c>
      <c r="D215" s="222">
        <f t="shared" si="343"/>
        <v>-4.0908724000719587</v>
      </c>
      <c r="E215" s="222">
        <f t="shared" si="343"/>
        <v>-12.517093524078852</v>
      </c>
      <c r="F215" s="222">
        <f t="shared" si="343"/>
        <v>-29.751242794706858</v>
      </c>
      <c r="G215" s="222">
        <f t="shared" si="343"/>
        <v>-688.06532769151352</v>
      </c>
      <c r="H215" s="222">
        <f t="shared" si="343"/>
        <v>-196.31578193414296</v>
      </c>
      <c r="I215" s="222">
        <f t="shared" si="343"/>
        <v>-225.28229748996227</v>
      </c>
      <c r="J215" s="222">
        <f t="shared" ref="J215:K215" si="344">J$29*(J84)*J$210</f>
        <v>-310.40250577441373</v>
      </c>
      <c r="K215" s="222">
        <f t="shared" si="344"/>
        <v>-497.80825073886717</v>
      </c>
    </row>
    <row r="216" spans="1:11" ht="15" hidden="1" customHeight="1" outlineLevel="1">
      <c r="A216">
        <v>5</v>
      </c>
      <c r="B216" s="222">
        <f t="shared" si="336"/>
        <v>-0.15046461401437095</v>
      </c>
      <c r="C216" s="222">
        <f t="shared" ref="C216:I216" si="345">C$29*(C85)*C$210</f>
        <v>-0.42076204414756513</v>
      </c>
      <c r="D216" s="222">
        <f t="shared" si="345"/>
        <v>-3.9498078345522356</v>
      </c>
      <c r="E216" s="222">
        <f t="shared" si="345"/>
        <v>-12.085469609455441</v>
      </c>
      <c r="F216" s="222">
        <f t="shared" si="345"/>
        <v>-28.725337870751442</v>
      </c>
      <c r="G216" s="222">
        <f t="shared" si="345"/>
        <v>-664.33893708146115</v>
      </c>
      <c r="H216" s="222">
        <f t="shared" si="345"/>
        <v>-189.54627221227591</v>
      </c>
      <c r="I216" s="222">
        <f t="shared" si="345"/>
        <v>-217.51394240410147</v>
      </c>
      <c r="J216" s="222">
        <f t="shared" ref="J216:K216" si="346">J$29*(J85)*J$210</f>
        <v>-299.69897109253731</v>
      </c>
      <c r="K216" s="222">
        <f t="shared" si="346"/>
        <v>-480.64244898925097</v>
      </c>
    </row>
    <row r="217" spans="1:11" ht="15" hidden="1" customHeight="1" outlineLevel="1">
      <c r="A217">
        <v>6</v>
      </c>
      <c r="B217" s="222">
        <f t="shared" si="336"/>
        <v>-0.145090877799572</v>
      </c>
      <c r="C217" s="222">
        <f t="shared" ref="C217:I217" si="347">C$29*(C86)*C$210</f>
        <v>-0.40573482828515217</v>
      </c>
      <c r="D217" s="222">
        <f t="shared" si="347"/>
        <v>-3.8087432690325129</v>
      </c>
      <c r="E217" s="222">
        <f t="shared" si="347"/>
        <v>-11.653845694832032</v>
      </c>
      <c r="F217" s="222">
        <f t="shared" si="347"/>
        <v>-27.699432946796033</v>
      </c>
      <c r="G217" s="222">
        <f t="shared" si="347"/>
        <v>-640.61254647140902</v>
      </c>
      <c r="H217" s="222">
        <f t="shared" si="347"/>
        <v>-182.77676249040894</v>
      </c>
      <c r="I217" s="222">
        <f t="shared" si="347"/>
        <v>-209.74558731824072</v>
      </c>
      <c r="J217" s="222">
        <f t="shared" ref="J217:K217" si="348">J$29*(J86)*J$210</f>
        <v>-288.995436410661</v>
      </c>
      <c r="K217" s="222">
        <f t="shared" si="348"/>
        <v>-463.47664723963487</v>
      </c>
    </row>
    <row r="218" spans="1:11" ht="15" hidden="1" customHeight="1" outlineLevel="1">
      <c r="A218">
        <v>7</v>
      </c>
      <c r="B218" s="222">
        <f t="shared" si="336"/>
        <v>-0.13971714158477305</v>
      </c>
      <c r="C218" s="222">
        <f t="shared" ref="C218:I218" si="349">C$29*(C87)*C$210</f>
        <v>-0.3907076124227391</v>
      </c>
      <c r="D218" s="222">
        <f t="shared" si="349"/>
        <v>-3.6676787035127907</v>
      </c>
      <c r="E218" s="222">
        <f t="shared" si="349"/>
        <v>-11.222221780208624</v>
      </c>
      <c r="F218" s="222">
        <f t="shared" si="349"/>
        <v>-26.673528022840628</v>
      </c>
      <c r="G218" s="222">
        <f t="shared" si="349"/>
        <v>-616.886155861357</v>
      </c>
      <c r="H218" s="222">
        <f t="shared" si="349"/>
        <v>-176.00725276854192</v>
      </c>
      <c r="I218" s="222">
        <f t="shared" si="349"/>
        <v>-201.97723223237998</v>
      </c>
      <c r="J218" s="222">
        <f t="shared" ref="J218:K218" si="350">J$29*(J87)*J$210</f>
        <v>-278.29190172878464</v>
      </c>
      <c r="K218" s="222">
        <f t="shared" si="350"/>
        <v>-446.31084549001878</v>
      </c>
    </row>
    <row r="219" spans="1:11" ht="15" hidden="1" customHeight="1" outlineLevel="1">
      <c r="A219">
        <v>8</v>
      </c>
      <c r="B219" s="222">
        <f t="shared" si="336"/>
        <v>-0.13434340536997405</v>
      </c>
      <c r="C219" s="222">
        <f t="shared" ref="C219:I219" si="351">C$29*(C88)*C$210</f>
        <v>-0.37568039656032604</v>
      </c>
      <c r="D219" s="222">
        <f t="shared" si="351"/>
        <v>-3.5266141379930671</v>
      </c>
      <c r="E219" s="222">
        <f t="shared" si="351"/>
        <v>-10.790597865585216</v>
      </c>
      <c r="F219" s="222">
        <f t="shared" si="351"/>
        <v>-25.647623098885216</v>
      </c>
      <c r="G219" s="222">
        <f t="shared" si="351"/>
        <v>-593.15976525130475</v>
      </c>
      <c r="H219" s="222">
        <f t="shared" si="351"/>
        <v>-169.23774304667495</v>
      </c>
      <c r="I219" s="222">
        <f t="shared" si="351"/>
        <v>-194.2088771465192</v>
      </c>
      <c r="J219" s="222">
        <f t="shared" ref="J219:K219" si="352">J$29*(J88)*J$210</f>
        <v>-267.58836704690833</v>
      </c>
      <c r="K219" s="222">
        <f t="shared" si="352"/>
        <v>-429.14504374040268</v>
      </c>
    </row>
    <row r="220" spans="1:11" ht="15" hidden="1" customHeight="1" outlineLevel="1">
      <c r="A220">
        <v>9</v>
      </c>
      <c r="B220" s="222">
        <f t="shared" si="336"/>
        <v>-0.1289696691551751</v>
      </c>
      <c r="C220" s="222">
        <f t="shared" ref="C220:I220" si="353">C$29*(C89)*C$210</f>
        <v>-0.36065318069791302</v>
      </c>
      <c r="D220" s="222">
        <f t="shared" si="353"/>
        <v>-3.3855495724733449</v>
      </c>
      <c r="E220" s="222">
        <f t="shared" si="353"/>
        <v>-10.358973950961806</v>
      </c>
      <c r="F220" s="222">
        <f t="shared" si="353"/>
        <v>-24.621718174929811</v>
      </c>
      <c r="G220" s="222">
        <f t="shared" si="353"/>
        <v>-569.4333746412525</v>
      </c>
      <c r="H220" s="222">
        <f t="shared" si="353"/>
        <v>-162.46823332480795</v>
      </c>
      <c r="I220" s="222">
        <f t="shared" si="353"/>
        <v>-186.44052206065842</v>
      </c>
      <c r="J220" s="222">
        <f t="shared" ref="J220:K220" si="354">J$29*(J89)*J$210</f>
        <v>-256.88483236503203</v>
      </c>
      <c r="K220" s="222">
        <f t="shared" si="354"/>
        <v>-411.97924199078659</v>
      </c>
    </row>
    <row r="221" spans="1:11" ht="15" hidden="1" customHeight="1" outlineLevel="1">
      <c r="A221">
        <v>10</v>
      </c>
      <c r="B221" s="222">
        <f t="shared" si="336"/>
        <v>-0.12359593294037613</v>
      </c>
      <c r="C221" s="222">
        <f t="shared" ref="C221:I221" si="355">C$29*(C90)*C$210</f>
        <v>-0.34562596483549995</v>
      </c>
      <c r="D221" s="222">
        <f t="shared" si="355"/>
        <v>-3.2444850069536217</v>
      </c>
      <c r="E221" s="222">
        <f t="shared" si="355"/>
        <v>-9.9273500363383977</v>
      </c>
      <c r="F221" s="222">
        <f t="shared" si="355"/>
        <v>-23.595813250974398</v>
      </c>
      <c r="G221" s="222">
        <f t="shared" si="355"/>
        <v>-545.70698403120036</v>
      </c>
      <c r="H221" s="222">
        <f t="shared" si="355"/>
        <v>-155.69872360294093</v>
      </c>
      <c r="I221" s="222">
        <f t="shared" si="355"/>
        <v>-178.67216697479765</v>
      </c>
      <c r="J221" s="222">
        <f t="shared" ref="J221:K221" si="356">J$29*(J90)*J$210</f>
        <v>-246.18129768315566</v>
      </c>
      <c r="K221" s="222">
        <f t="shared" si="356"/>
        <v>-394.81344024117044</v>
      </c>
    </row>
    <row r="222" spans="1:11" ht="15" customHeight="1" collapsed="1">
      <c r="A222" t="s">
        <v>601</v>
      </c>
      <c r="B222" s="222">
        <f>SUM(B212:B221)</f>
        <v>-1.4777774590697148</v>
      </c>
      <c r="C222" s="222">
        <f t="shared" ref="C222:I222" si="357">SUM(C212:C221)</f>
        <v>-4.1324843621635861</v>
      </c>
      <c r="D222" s="222">
        <f t="shared" si="357"/>
        <v>-38.792755517923744</v>
      </c>
      <c r="E222" s="222">
        <f t="shared" si="357"/>
        <v>-118.69657652143738</v>
      </c>
      <c r="F222" s="222">
        <f t="shared" si="357"/>
        <v>-282.12385408773741</v>
      </c>
      <c r="G222" s="222">
        <f t="shared" si="357"/>
        <v>-6524.7574177643519</v>
      </c>
      <c r="H222" s="222">
        <f t="shared" si="357"/>
        <v>-1861.6151735134245</v>
      </c>
      <c r="I222" s="222">
        <f t="shared" si="357"/>
        <v>-2136.2976486117109</v>
      </c>
      <c r="J222" s="222">
        <f t="shared" ref="J222" si="358">SUM(J212:J221)</f>
        <v>-2943.4720375159918</v>
      </c>
      <c r="K222" s="222">
        <f t="shared" ref="K222" si="359">SUM(K212:K221)</f>
        <v>-4720.5954811444299</v>
      </c>
    </row>
    <row r="223" spans="1:11" ht="15" customHeight="1">
      <c r="A223" t="s">
        <v>602</v>
      </c>
      <c r="B223" s="222">
        <f>B222*B187</f>
        <v>-0.28151660595278066</v>
      </c>
      <c r="C223" s="222">
        <f t="shared" ref="C223:I223" si="360">C222*C187</f>
        <v>-0.78723827099216315</v>
      </c>
      <c r="D223" s="222">
        <f t="shared" si="360"/>
        <v>-7.3900199261644737</v>
      </c>
      <c r="E223" s="222">
        <f t="shared" si="360"/>
        <v>-22.61169782733382</v>
      </c>
      <c r="F223" s="222">
        <f t="shared" si="360"/>
        <v>-53.74459420371398</v>
      </c>
      <c r="G223" s="222">
        <f t="shared" si="360"/>
        <v>-1242.966288084109</v>
      </c>
      <c r="H223" s="222">
        <f t="shared" si="360"/>
        <v>-354.63769055430737</v>
      </c>
      <c r="I223" s="222">
        <f t="shared" si="360"/>
        <v>-406.96470206053095</v>
      </c>
      <c r="J223" s="222">
        <f t="shared" ref="J223" si="361">J222*J187</f>
        <v>-560.73142314679649</v>
      </c>
      <c r="K223" s="222">
        <f t="shared" ref="K223" si="362">K222*K187</f>
        <v>-899.27343915801396</v>
      </c>
    </row>
    <row r="224" spans="1:11" ht="15" customHeight="1">
      <c r="A224" t="s">
        <v>605</v>
      </c>
      <c r="B224" s="222">
        <f>B38*(2/3)*((1+B44+B44^2)/(1+B44))</f>
        <v>0.12666666666666665</v>
      </c>
      <c r="C224" s="222">
        <f t="shared" ref="C224:I224" si="363">C38*(2/3)*((1+C44+C44^2)/(1+C44))</f>
        <v>0.12666666666666665</v>
      </c>
      <c r="D224" s="222">
        <f t="shared" si="363"/>
        <v>0.12666666666666665</v>
      </c>
      <c r="E224" s="222">
        <f t="shared" si="363"/>
        <v>0.12666666666666665</v>
      </c>
      <c r="F224" s="222">
        <f t="shared" si="363"/>
        <v>0.12666666666666665</v>
      </c>
      <c r="G224" s="222">
        <f t="shared" si="363"/>
        <v>0.12666666666666665</v>
      </c>
      <c r="H224" s="222">
        <f t="shared" si="363"/>
        <v>0.12666666666666665</v>
      </c>
      <c r="I224" s="222">
        <f t="shared" si="363"/>
        <v>0.12666666666666665</v>
      </c>
      <c r="J224" s="222">
        <f t="shared" ref="J224:K224" si="364">J38*(2/3)*((1+J44+J44^2)/(1+J44))</f>
        <v>0.12666666666666665</v>
      </c>
      <c r="K224" s="222">
        <f t="shared" si="364"/>
        <v>0.12666666666666665</v>
      </c>
    </row>
    <row r="225" spans="1:11" ht="15" customHeight="1">
      <c r="A225" t="s">
        <v>607</v>
      </c>
      <c r="B225" s="222">
        <v>0.8</v>
      </c>
      <c r="C225" s="222">
        <v>0.8</v>
      </c>
      <c r="D225" s="222">
        <v>0.8</v>
      </c>
      <c r="E225" s="222">
        <v>0.8</v>
      </c>
      <c r="F225" s="222">
        <v>0.8</v>
      </c>
      <c r="G225" s="222">
        <v>0.8</v>
      </c>
      <c r="H225" s="222">
        <v>0.8</v>
      </c>
      <c r="I225" s="222">
        <v>0.8</v>
      </c>
      <c r="J225" s="222">
        <v>0.8</v>
      </c>
      <c r="K225" s="222">
        <v>0.8</v>
      </c>
    </row>
    <row r="226" spans="1:11" ht="15" customHeight="1">
      <c r="A226" t="s">
        <v>604</v>
      </c>
      <c r="B226" s="222">
        <f>B223/(B29*B91*B224)</f>
        <v>-0.51138727573667009</v>
      </c>
      <c r="C226" s="222">
        <f t="shared" ref="C226:I226" si="365">C223/(C29*C91*C224)</f>
        <v>-0.51303758184404913</v>
      </c>
      <c r="D226" s="222">
        <f t="shared" si="365"/>
        <v>-0.53511371368338911</v>
      </c>
      <c r="E226" s="222">
        <f t="shared" si="365"/>
        <v>-0.58943530578630454</v>
      </c>
      <c r="F226" s="222">
        <f t="shared" si="365"/>
        <v>-0.71479530153681714</v>
      </c>
      <c r="G226" s="222">
        <f t="shared" si="365"/>
        <v>-8.1003228914247387</v>
      </c>
      <c r="H226" s="222">
        <f t="shared" si="365"/>
        <v>-1.0271771578462314</v>
      </c>
      <c r="I226" s="222">
        <f t="shared" si="365"/>
        <v>-0.66304000432385357</v>
      </c>
      <c r="J226" s="222">
        <f t="shared" ref="J226:K226" si="366">J223/(J29*J91*J224)</f>
        <v>-0.40602742241154832</v>
      </c>
      <c r="K226" s="222">
        <f t="shared" si="366"/>
        <v>-0.23442004162767741</v>
      </c>
    </row>
    <row r="227" spans="1:11" ht="15" customHeight="1">
      <c r="A227" s="324" t="s">
        <v>609</v>
      </c>
      <c r="B227" s="322">
        <f>(-B185*B187^2)/(B225*B3)</f>
        <v>-4.0983900073281931E-3</v>
      </c>
      <c r="C227" s="322">
        <f t="shared" ref="C227:I227" si="367">(-C185*C187^2)/(C225*C3)</f>
        <v>-2.3821240016529141E-3</v>
      </c>
      <c r="D227" s="322">
        <f t="shared" si="367"/>
        <v>-8.2820912547124472E-4</v>
      </c>
      <c r="E227" s="322">
        <f t="shared" si="367"/>
        <v>-5.4737042237268114E-4</v>
      </c>
      <c r="F227" s="322">
        <f t="shared" si="367"/>
        <v>-4.7413152684485635E-4</v>
      </c>
      <c r="G227" s="322">
        <f t="shared" si="367"/>
        <v>-3.7611228229020664E-3</v>
      </c>
      <c r="H227" s="322">
        <f t="shared" si="367"/>
        <v>-3.1795765043958875E-4</v>
      </c>
      <c r="I227" s="322">
        <f t="shared" si="367"/>
        <v>-1.5393058561897086E-4</v>
      </c>
      <c r="J227" s="322">
        <f t="shared" ref="J227:K227" si="368">(-J185*J187^2)/(J225*J3)</f>
        <v>-6.2841898429046128E-5</v>
      </c>
      <c r="K227" s="322">
        <f t="shared" si="368"/>
        <v>-2.1769072184638144E-5</v>
      </c>
    </row>
    <row r="228" spans="1:11" ht="15" customHeight="1" outlineLevel="1">
      <c r="A228">
        <v>0.06</v>
      </c>
      <c r="B228" s="322">
        <v>-3.957435565420617E-3</v>
      </c>
      <c r="C228" s="322"/>
      <c r="D228" s="322"/>
      <c r="E228" s="322"/>
      <c r="F228" s="322"/>
      <c r="G228" s="322"/>
      <c r="H228" s="322"/>
      <c r="I228" s="322"/>
      <c r="J228" s="322"/>
      <c r="K228" s="322"/>
    </row>
    <row r="229" spans="1:11" ht="15" customHeight="1" outlineLevel="1">
      <c r="A229">
        <v>0.1</v>
      </c>
      <c r="B229" s="322">
        <v>-1.0587217785124063E-3</v>
      </c>
      <c r="C229" s="322"/>
      <c r="D229" s="322"/>
      <c r="E229" s="322"/>
      <c r="F229" s="322"/>
      <c r="G229" s="322"/>
      <c r="H229" s="322"/>
      <c r="I229" s="322"/>
      <c r="J229" s="322"/>
      <c r="K229" s="322"/>
    </row>
    <row r="230" spans="1:11" ht="15" customHeight="1" outlineLevel="1">
      <c r="A230">
        <v>0.3</v>
      </c>
      <c r="B230" s="322">
        <v>-2.3663117870606997E-4</v>
      </c>
      <c r="C230" s="322"/>
      <c r="D230" s="322"/>
      <c r="E230" s="322"/>
      <c r="F230" s="322"/>
      <c r="G230" s="322"/>
      <c r="H230" s="322"/>
      <c r="I230" s="322"/>
      <c r="J230" s="322"/>
      <c r="K230" s="322"/>
    </row>
    <row r="231" spans="1:11" ht="15" customHeight="1" outlineLevel="1">
      <c r="A231">
        <v>0.5</v>
      </c>
      <c r="B231" s="322">
        <v>-1.1523587839424864E-4</v>
      </c>
      <c r="C231" s="322"/>
      <c r="D231" s="322"/>
      <c r="E231" s="322"/>
      <c r="F231" s="322"/>
      <c r="G231" s="322"/>
      <c r="H231" s="322"/>
      <c r="I231" s="322"/>
      <c r="J231" s="322"/>
      <c r="K231" s="322"/>
    </row>
    <row r="232" spans="1:11" ht="15" customHeight="1" outlineLevel="1">
      <c r="A232">
        <v>0.7</v>
      </c>
      <c r="B232" s="322">
        <v>-7.9021921140809409E-5</v>
      </c>
      <c r="C232" s="322"/>
      <c r="D232" s="322"/>
      <c r="E232" s="322"/>
      <c r="F232" s="322"/>
      <c r="G232" s="322"/>
      <c r="H232" s="322"/>
      <c r="I232" s="322"/>
      <c r="J232" s="322"/>
      <c r="K232" s="322"/>
    </row>
    <row r="233" spans="1:11" ht="15" customHeight="1" outlineLevel="1">
      <c r="A233">
        <v>1</v>
      </c>
      <c r="B233" s="322">
        <v>-5.1877556177959536E-4</v>
      </c>
      <c r="C233" s="322"/>
      <c r="D233" s="322"/>
      <c r="E233" s="322"/>
      <c r="F233" s="322"/>
      <c r="G233" s="322"/>
      <c r="H233" s="322"/>
      <c r="I233" s="322"/>
      <c r="J233" s="322"/>
      <c r="K233" s="322"/>
    </row>
    <row r="234" spans="1:11" ht="15" customHeight="1" outlineLevel="1">
      <c r="A234">
        <v>1.5</v>
      </c>
      <c r="B234" s="322">
        <v>-3.1795765043958875E-4</v>
      </c>
      <c r="C234" s="322"/>
      <c r="D234" s="322"/>
      <c r="E234" s="322"/>
      <c r="F234" s="322"/>
      <c r="G234" s="322"/>
      <c r="H234" s="322"/>
      <c r="I234" s="322"/>
      <c r="J234" s="322"/>
      <c r="K234" s="322"/>
    </row>
    <row r="235" spans="1:11" ht="15" customHeight="1" outlineLevel="1">
      <c r="A235">
        <v>2</v>
      </c>
      <c r="B235" s="322">
        <v>-6.841359360843149E-5</v>
      </c>
      <c r="C235" s="322"/>
      <c r="D235" s="322"/>
      <c r="E235" s="322"/>
      <c r="F235" s="322"/>
      <c r="G235" s="322"/>
      <c r="H235" s="322"/>
      <c r="I235" s="322"/>
      <c r="J235" s="322"/>
      <c r="K235" s="322"/>
    </row>
    <row r="236" spans="1:11" ht="15" customHeight="1" outlineLevel="1">
      <c r="A236">
        <v>3</v>
      </c>
      <c r="B236" s="322">
        <v>-1.795482812258461E-5</v>
      </c>
      <c r="C236" s="322"/>
      <c r="D236" s="322"/>
      <c r="E236" s="322"/>
      <c r="F236" s="322"/>
      <c r="G236" s="322"/>
      <c r="H236" s="322"/>
      <c r="I236" s="322"/>
      <c r="J236" s="322"/>
      <c r="K236" s="322"/>
    </row>
    <row r="237" spans="1:11" ht="15" customHeight="1" outlineLevel="1">
      <c r="A237">
        <v>5</v>
      </c>
      <c r="B237" s="322">
        <v>-4.5829625651869788E-6</v>
      </c>
      <c r="C237" s="322"/>
      <c r="D237" s="322"/>
      <c r="E237" s="322"/>
      <c r="F237" s="322"/>
      <c r="G237" s="322"/>
      <c r="H237" s="322"/>
      <c r="I237" s="322"/>
      <c r="J237" s="322"/>
      <c r="K237" s="322"/>
    </row>
    <row r="239" spans="1:11" ht="15" customHeight="1">
      <c r="A239" s="324" t="s">
        <v>610</v>
      </c>
      <c r="B239" s="222">
        <f>(B185*B187)/B225</f>
        <v>0.42414518635482801</v>
      </c>
      <c r="C239" s="222">
        <f t="shared" ref="C239:I239" si="369">(C185*C187)/C225</f>
        <v>0.42551395211156007</v>
      </c>
      <c r="D239" s="222">
        <f t="shared" si="369"/>
        <v>0.4438239208910964</v>
      </c>
      <c r="E239" s="222">
        <f t="shared" si="369"/>
        <v>0.48887831097616802</v>
      </c>
      <c r="F239" s="222">
        <f t="shared" si="369"/>
        <v>0.59285203359655836</v>
      </c>
      <c r="G239" s="222">
        <f t="shared" si="369"/>
        <v>6.7184169910531475</v>
      </c>
      <c r="H239" s="222">
        <f t="shared" si="369"/>
        <v>0.85194189942741982</v>
      </c>
      <c r="I239" s="222">
        <f t="shared" si="369"/>
        <v>0.54992613140311863</v>
      </c>
      <c r="J239" s="222">
        <f t="shared" ref="J239:K239" si="370">(J185*J187)/J225</f>
        <v>0.33675960454009318</v>
      </c>
      <c r="K239" s="222">
        <f t="shared" si="370"/>
        <v>0.19442824833341479</v>
      </c>
    </row>
    <row r="240" spans="1:11" ht="15" customHeight="1" outlineLevel="1">
      <c r="A240">
        <v>0.06</v>
      </c>
      <c r="B240" s="222">
        <v>0.42414518635482801</v>
      </c>
    </row>
    <row r="241" spans="1:2" ht="15" customHeight="1" outlineLevel="1">
      <c r="A241">
        <v>0.1</v>
      </c>
      <c r="B241" s="222">
        <v>0.42551395211156007</v>
      </c>
    </row>
    <row r="242" spans="1:2" ht="15" customHeight="1" outlineLevel="1">
      <c r="A242">
        <v>0.3</v>
      </c>
      <c r="B242" s="222">
        <v>0.4438239208910964</v>
      </c>
    </row>
    <row r="243" spans="1:2" ht="15" customHeight="1" outlineLevel="1">
      <c r="A243">
        <v>0.5</v>
      </c>
      <c r="B243" s="222">
        <v>0.48887831097616802</v>
      </c>
    </row>
    <row r="244" spans="1:2" ht="15" customHeight="1" outlineLevel="1">
      <c r="A244">
        <v>0.7</v>
      </c>
      <c r="B244" s="222">
        <v>0.59285203359655836</v>
      </c>
    </row>
    <row r="245" spans="1:2" ht="15" customHeight="1" outlineLevel="1">
      <c r="A245">
        <v>1</v>
      </c>
      <c r="B245" s="222">
        <v>6.7184169910531475</v>
      </c>
    </row>
    <row r="246" spans="1:2" ht="15" customHeight="1" outlineLevel="1">
      <c r="A246">
        <v>1.5</v>
      </c>
      <c r="B246" s="222">
        <v>0.85194189942741982</v>
      </c>
    </row>
    <row r="247" spans="1:2" ht="15" customHeight="1" outlineLevel="1">
      <c r="A247">
        <v>2</v>
      </c>
      <c r="B247" s="222">
        <v>0.54992613140311863</v>
      </c>
    </row>
    <row r="248" spans="1:2" ht="15" customHeight="1" outlineLevel="1">
      <c r="A248">
        <v>3</v>
      </c>
      <c r="B248" s="222">
        <v>0.33675960454009318</v>
      </c>
    </row>
    <row r="249" spans="1:2" ht="15" customHeight="1" outlineLevel="1">
      <c r="A249">
        <v>5</v>
      </c>
      <c r="B249" s="222">
        <v>0.19442824833341479</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9:K207">
    <cfRule type="cellIs" dxfId="9" priority="1" operator="greaterThan">
      <formula>15</formula>
    </cfRule>
  </conditionalFormatting>
  <pageMargins left="0.7" right="0.7" top="0.75" bottom="0.75" header="0.3" footer="0.3"/>
  <pageSetup orientation="portrait" r:id="rId1"/>
  <cellWatches>
    <cellWatch r="B93"/>
    <cellWatch r="B94"/>
  </cellWatche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O101"/>
  <sheetViews>
    <sheetView tabSelected="1" zoomScale="85" zoomScaleNormal="85" workbookViewId="0">
      <pane ySplit="3" topLeftCell="A73" activePane="bottomLeft" state="frozen"/>
      <selection pane="bottomLeft" activeCell="L78" sqref="L78"/>
    </sheetView>
  </sheetViews>
  <sheetFormatPr defaultColWidth="9.08984375" defaultRowHeight="14.5"/>
  <cols>
    <col min="1" max="1" width="41.453125" style="313" bestFit="1" customWidth="1"/>
    <col min="2" max="6" width="9.1796875" style="314" bestFit="1" customWidth="1"/>
    <col min="7" max="8" width="10" style="314" bestFit="1" customWidth="1"/>
    <col min="9" max="11" width="9.08984375" style="314"/>
    <col min="13" max="13" width="17.08984375" customWidth="1"/>
  </cols>
  <sheetData>
    <row r="1" spans="1:13">
      <c r="A1" s="312" t="s">
        <v>590</v>
      </c>
      <c r="B1" s="314">
        <v>0.06</v>
      </c>
      <c r="C1" s="314">
        <v>0.1</v>
      </c>
      <c r="D1" s="314">
        <v>0.3</v>
      </c>
      <c r="E1" s="314">
        <v>0.5</v>
      </c>
      <c r="F1" s="314">
        <v>0.7</v>
      </c>
      <c r="G1" s="314">
        <v>1</v>
      </c>
      <c r="H1" s="314">
        <v>1.5</v>
      </c>
      <c r="I1" s="314">
        <v>2</v>
      </c>
      <c r="J1" s="314">
        <v>3</v>
      </c>
      <c r="K1" s="314">
        <v>5</v>
      </c>
    </row>
    <row r="2" spans="1:13">
      <c r="A2" s="313" t="s">
        <v>611</v>
      </c>
      <c r="B2" s="314">
        <f>B1*$N$22</f>
        <v>20.399999999999999</v>
      </c>
      <c r="C2" s="314">
        <f>C1*$N$22</f>
        <v>34</v>
      </c>
      <c r="D2" s="314">
        <f>D1*$N$22</f>
        <v>102</v>
      </c>
      <c r="E2" s="314">
        <f>E1*$N$22</f>
        <v>170</v>
      </c>
      <c r="F2" s="314">
        <f>F1*$N$22</f>
        <v>237.99999999999997</v>
      </c>
      <c r="G2" s="314">
        <f>G1*$N$22</f>
        <v>340</v>
      </c>
      <c r="H2" s="314">
        <f>H1*$N$22</f>
        <v>510</v>
      </c>
      <c r="I2" s="314">
        <f>I1*$N$22</f>
        <v>680</v>
      </c>
      <c r="J2" s="314">
        <f>J1*$N$22</f>
        <v>1020</v>
      </c>
      <c r="K2" s="314">
        <f>K1*$N$22</f>
        <v>1700</v>
      </c>
      <c r="M2" t="s">
        <v>589</v>
      </c>
    </row>
    <row r="3" spans="1:13">
      <c r="A3" s="313" t="s">
        <v>621</v>
      </c>
      <c r="B3" s="314">
        <f>0.5*$N$25*B2^2</f>
        <v>254.68991999999997</v>
      </c>
      <c r="C3" s="314">
        <f t="shared" ref="C3:K3" si="0">0.5*$N$25*C2^2</f>
        <v>707.47199999999998</v>
      </c>
      <c r="D3" s="314">
        <f t="shared" si="0"/>
        <v>6367.2479999999996</v>
      </c>
      <c r="E3" s="314">
        <f t="shared" si="0"/>
        <v>17686.8</v>
      </c>
      <c r="F3" s="314">
        <f t="shared" si="0"/>
        <v>34666.12799999999</v>
      </c>
      <c r="G3" s="314">
        <f t="shared" si="0"/>
        <v>70747.199999999997</v>
      </c>
      <c r="H3" s="314">
        <f t="shared" si="0"/>
        <v>159181.19999999998</v>
      </c>
      <c r="I3" s="314">
        <f t="shared" si="0"/>
        <v>282988.79999999999</v>
      </c>
      <c r="J3" s="314">
        <f t="shared" si="0"/>
        <v>636724.79999999993</v>
      </c>
      <c r="K3" s="314">
        <f t="shared" si="0"/>
        <v>1768680</v>
      </c>
    </row>
    <row r="4" spans="1:13">
      <c r="A4" s="313" t="s">
        <v>586</v>
      </c>
      <c r="B4" s="393"/>
      <c r="C4" s="393"/>
      <c r="D4" s="393"/>
      <c r="E4" s="393"/>
      <c r="F4" s="393"/>
      <c r="G4" s="393"/>
      <c r="H4" s="393"/>
      <c r="I4" s="393"/>
      <c r="J4" s="393"/>
      <c r="K4" s="393"/>
    </row>
    <row r="5" spans="1:13">
      <c r="A5" s="313">
        <v>0</v>
      </c>
      <c r="B5" s="393">
        <v>2.1053423000000002E-3</v>
      </c>
      <c r="C5" s="393">
        <v>2.1332036E-4</v>
      </c>
      <c r="D5" s="393">
        <v>6.7955695999999998E-3</v>
      </c>
      <c r="E5" s="393">
        <v>7.9433802000000008E-3</v>
      </c>
      <c r="F5" s="393">
        <v>1.0304545E-2</v>
      </c>
      <c r="G5" s="393">
        <v>5.2529211999999999E-3</v>
      </c>
      <c r="H5" s="393">
        <v>3.6308104999999999</v>
      </c>
      <c r="I5" s="393"/>
      <c r="J5" s="393"/>
      <c r="K5" s="393"/>
    </row>
    <row r="6" spans="1:13">
      <c r="A6" s="313">
        <v>5</v>
      </c>
      <c r="B6" s="393"/>
      <c r="C6" s="393"/>
      <c r="D6" s="393"/>
      <c r="E6" s="393"/>
      <c r="F6" s="393"/>
      <c r="G6" s="393"/>
      <c r="H6" s="393"/>
      <c r="I6" s="393"/>
      <c r="J6" s="393"/>
      <c r="K6" s="393"/>
    </row>
    <row r="7" spans="1:13">
      <c r="A7" s="313">
        <v>10</v>
      </c>
      <c r="B7" s="393"/>
      <c r="C7" s="393"/>
      <c r="D7" s="393"/>
      <c r="E7" s="393"/>
      <c r="F7" s="393"/>
      <c r="G7" s="393"/>
      <c r="H7" s="393"/>
      <c r="I7" s="393"/>
      <c r="J7" s="393"/>
      <c r="K7" s="393"/>
    </row>
    <row r="8" spans="1:13">
      <c r="A8" s="313">
        <v>15</v>
      </c>
      <c r="B8" s="393"/>
      <c r="C8" s="393"/>
      <c r="D8" s="393"/>
      <c r="E8" s="393"/>
      <c r="F8" s="393"/>
      <c r="G8" s="393"/>
      <c r="H8" s="393"/>
      <c r="I8" s="393"/>
      <c r="J8" s="393"/>
      <c r="K8" s="393"/>
    </row>
    <row r="9" spans="1:13">
      <c r="A9" s="313">
        <v>20</v>
      </c>
      <c r="B9" s="393"/>
      <c r="C9" s="393"/>
      <c r="D9" s="393"/>
      <c r="E9" s="393"/>
      <c r="F9" s="393"/>
      <c r="G9" s="393"/>
      <c r="H9" s="393"/>
      <c r="I9" s="393"/>
      <c r="J9" s="393"/>
      <c r="K9" s="393"/>
    </row>
    <row r="10" spans="1:13">
      <c r="A10" s="313">
        <v>25</v>
      </c>
      <c r="B10" s="393"/>
      <c r="C10" s="393"/>
      <c r="D10" s="393"/>
      <c r="E10" s="393"/>
      <c r="F10" s="393"/>
      <c r="G10" s="393"/>
      <c r="H10" s="393"/>
      <c r="I10" s="393"/>
      <c r="J10" s="393"/>
      <c r="K10" s="393"/>
    </row>
    <row r="11" spans="1:13">
      <c r="A11" s="313">
        <v>30</v>
      </c>
      <c r="B11" s="393"/>
      <c r="C11" s="393"/>
      <c r="D11" s="393"/>
      <c r="E11" s="393"/>
      <c r="F11" s="393"/>
      <c r="G11" s="393"/>
      <c r="H11" s="393"/>
      <c r="I11" s="393"/>
      <c r="J11" s="393"/>
      <c r="K11" s="393"/>
    </row>
    <row r="12" spans="1:13">
      <c r="A12" s="313" t="s">
        <v>587</v>
      </c>
      <c r="B12" s="393"/>
      <c r="C12" s="393"/>
      <c r="D12" s="393"/>
      <c r="E12" s="393"/>
      <c r="F12" s="393"/>
      <c r="G12" s="393"/>
      <c r="H12" s="393"/>
      <c r="I12" s="393"/>
      <c r="J12" s="393"/>
      <c r="K12" s="393"/>
    </row>
    <row r="13" spans="1:13">
      <c r="A13" s="313">
        <v>0</v>
      </c>
      <c r="B13" s="314">
        <v>3.0247540000000002E-3</v>
      </c>
      <c r="C13" s="314">
        <v>7.5993731999999996E-3</v>
      </c>
      <c r="D13" s="314">
        <v>4.7434295999999997E-3</v>
      </c>
      <c r="E13" s="314">
        <v>8.7547752000000003E-3</v>
      </c>
      <c r="F13" s="314">
        <v>4.0891260000000002E-3</v>
      </c>
      <c r="G13" s="314">
        <v>3.6209692000000002E-2</v>
      </c>
      <c r="H13" s="314">
        <v>1.7392082</v>
      </c>
      <c r="I13" s="393"/>
      <c r="J13" s="393"/>
      <c r="K13" s="393"/>
    </row>
    <row r="14" spans="1:13">
      <c r="A14" s="313">
        <v>5</v>
      </c>
      <c r="B14" s="393"/>
      <c r="C14" s="393"/>
      <c r="D14" s="393"/>
      <c r="E14" s="393"/>
      <c r="F14" s="393"/>
      <c r="G14" s="393"/>
      <c r="H14" s="393"/>
      <c r="I14" s="393"/>
      <c r="J14" s="393"/>
      <c r="K14" s="393"/>
    </row>
    <row r="15" spans="1:13">
      <c r="A15" s="313">
        <v>10</v>
      </c>
      <c r="B15" s="393"/>
      <c r="C15" s="393"/>
      <c r="D15" s="393"/>
      <c r="E15" s="393"/>
      <c r="F15" s="393"/>
      <c r="G15" s="393"/>
      <c r="H15" s="393"/>
      <c r="I15" s="393"/>
      <c r="J15" s="393"/>
      <c r="K15" s="393"/>
    </row>
    <row r="16" spans="1:13">
      <c r="A16" s="313">
        <v>15</v>
      </c>
      <c r="B16" s="393"/>
      <c r="C16" s="393"/>
      <c r="D16" s="393"/>
      <c r="E16" s="393"/>
      <c r="F16" s="393"/>
      <c r="G16" s="393"/>
      <c r="H16" s="393"/>
      <c r="I16" s="393"/>
      <c r="J16" s="393"/>
      <c r="K16" s="393"/>
    </row>
    <row r="17" spans="1:15">
      <c r="A17" s="313">
        <v>20</v>
      </c>
      <c r="B17" s="393"/>
      <c r="C17" s="393"/>
      <c r="D17" s="393"/>
      <c r="E17" s="393"/>
      <c r="F17" s="393"/>
      <c r="G17" s="393"/>
      <c r="H17" s="393"/>
      <c r="I17" s="393"/>
      <c r="J17" s="393"/>
      <c r="K17" s="393"/>
    </row>
    <row r="18" spans="1:15">
      <c r="A18" s="313">
        <v>25</v>
      </c>
      <c r="B18" s="393"/>
      <c r="C18" s="393"/>
      <c r="D18" s="393"/>
      <c r="E18" s="393"/>
      <c r="F18" s="393"/>
      <c r="G18" s="393"/>
      <c r="H18" s="393"/>
      <c r="I18" s="393"/>
      <c r="J18" s="393"/>
      <c r="K18" s="393"/>
    </row>
    <row r="19" spans="1:15">
      <c r="A19" s="313">
        <v>30</v>
      </c>
      <c r="B19" s="393"/>
      <c r="C19" s="393"/>
      <c r="D19" s="393"/>
      <c r="E19" s="393"/>
      <c r="F19" s="393"/>
      <c r="G19" s="393"/>
      <c r="H19" s="393"/>
      <c r="I19" s="393"/>
      <c r="J19" s="393"/>
      <c r="K19" s="393"/>
    </row>
    <row r="20" spans="1:15">
      <c r="A20" s="313" t="s">
        <v>588</v>
      </c>
      <c r="B20" s="393"/>
      <c r="C20" s="393"/>
      <c r="D20" s="393"/>
      <c r="E20" s="393"/>
      <c r="F20" s="393"/>
      <c r="G20" s="393"/>
      <c r="H20" s="393"/>
      <c r="I20" s="393"/>
      <c r="J20" s="393"/>
      <c r="K20" s="393"/>
    </row>
    <row r="21" spans="1:15">
      <c r="A21" s="313">
        <v>0</v>
      </c>
      <c r="B21" s="393">
        <v>0.44387747</v>
      </c>
      <c r="C21" s="393">
        <v>1.1780497999999999</v>
      </c>
      <c r="D21" s="393">
        <v>9.9524127999999994</v>
      </c>
      <c r="E21" s="393">
        <v>27.247305999999998</v>
      </c>
      <c r="F21" s="393">
        <v>54.030715000000001</v>
      </c>
      <c r="G21" s="393">
        <v>188.40852000000001</v>
      </c>
      <c r="H21" s="393">
        <v>573.49603999999999</v>
      </c>
      <c r="I21" s="393"/>
      <c r="J21" s="393"/>
      <c r="K21" s="393"/>
    </row>
    <row r="22" spans="1:15">
      <c r="A22" s="313">
        <v>5</v>
      </c>
      <c r="B22" s="393"/>
      <c r="C22" s="393"/>
      <c r="D22" s="393"/>
      <c r="E22" s="393"/>
      <c r="F22" s="393"/>
      <c r="G22" s="393"/>
      <c r="H22" s="393"/>
      <c r="I22" s="393"/>
      <c r="J22" s="393"/>
      <c r="K22" s="393"/>
      <c r="M22" t="s">
        <v>615</v>
      </c>
      <c r="N22">
        <v>340</v>
      </c>
      <c r="O22" t="s">
        <v>116</v>
      </c>
    </row>
    <row r="23" spans="1:15">
      <c r="A23" s="313">
        <v>10</v>
      </c>
      <c r="B23" s="393"/>
      <c r="C23" s="393"/>
      <c r="D23" s="393"/>
      <c r="E23" s="393"/>
      <c r="F23" s="393"/>
      <c r="G23" s="393"/>
      <c r="H23" s="393"/>
      <c r="I23" s="393"/>
      <c r="J23" s="393"/>
      <c r="K23" s="393"/>
      <c r="M23" t="s">
        <v>616</v>
      </c>
      <c r="N23">
        <v>288</v>
      </c>
      <c r="O23" t="s">
        <v>119</v>
      </c>
    </row>
    <row r="24" spans="1:15">
      <c r="A24" s="313">
        <v>15</v>
      </c>
      <c r="B24" s="393"/>
      <c r="C24" s="393"/>
      <c r="D24" s="393"/>
      <c r="E24" s="393"/>
      <c r="F24" s="393"/>
      <c r="G24" s="393"/>
      <c r="H24" s="393"/>
      <c r="I24" s="393"/>
      <c r="J24" s="393"/>
      <c r="K24" s="393"/>
      <c r="M24" t="s">
        <v>620</v>
      </c>
      <c r="N24">
        <f>CrossSecAreaRocket</f>
        <v>1.3867686977437444E-2</v>
      </c>
      <c r="O24" t="s">
        <v>230</v>
      </c>
    </row>
    <row r="25" spans="1:15">
      <c r="A25" s="313">
        <v>20</v>
      </c>
      <c r="B25" s="393"/>
      <c r="C25" s="393"/>
      <c r="D25" s="393"/>
      <c r="E25" s="393"/>
      <c r="F25" s="393"/>
      <c r="G25" s="393"/>
      <c r="H25" s="393"/>
      <c r="I25" s="393"/>
      <c r="J25" s="393"/>
      <c r="K25" s="393"/>
      <c r="M25" t="s">
        <v>622</v>
      </c>
      <c r="N25">
        <v>1.224</v>
      </c>
      <c r="O25" t="s">
        <v>323</v>
      </c>
    </row>
    <row r="26" spans="1:15">
      <c r="A26" s="313">
        <v>25</v>
      </c>
      <c r="B26" s="393"/>
      <c r="C26" s="393"/>
      <c r="D26" s="393"/>
      <c r="E26" s="393"/>
      <c r="F26" s="393"/>
      <c r="G26" s="393"/>
      <c r="H26" s="393"/>
      <c r="I26" s="393"/>
      <c r="J26" s="393"/>
      <c r="K26" s="393"/>
      <c r="M26" t="s">
        <v>623</v>
      </c>
      <c r="N26">
        <f>'FinAeroDesign 2.0'!B225</f>
        <v>0.8</v>
      </c>
      <c r="O26" t="s">
        <v>204</v>
      </c>
    </row>
    <row r="27" spans="1:15">
      <c r="A27" s="313">
        <v>30</v>
      </c>
      <c r="B27" s="393"/>
      <c r="C27" s="393"/>
      <c r="D27" s="393"/>
      <c r="E27" s="393"/>
      <c r="F27" s="393"/>
      <c r="G27" s="393"/>
      <c r="H27" s="393"/>
      <c r="I27" s="393"/>
      <c r="J27" s="393"/>
      <c r="K27" s="393"/>
    </row>
    <row r="28" spans="1:15">
      <c r="A28" s="313" t="s">
        <v>619</v>
      </c>
      <c r="B28" s="393"/>
      <c r="C28" s="393"/>
      <c r="D28" s="393"/>
      <c r="E28" s="393"/>
      <c r="F28" s="393"/>
      <c r="G28" s="393"/>
      <c r="H28" s="393"/>
      <c r="I28" s="393"/>
      <c r="J28" s="393"/>
      <c r="K28" s="393"/>
    </row>
    <row r="29" spans="1:15">
      <c r="A29" s="313">
        <v>0</v>
      </c>
      <c r="B29" s="393"/>
      <c r="C29" s="393"/>
      <c r="D29" s="393"/>
      <c r="E29" s="393"/>
      <c r="F29" s="393"/>
      <c r="G29" s="393"/>
      <c r="H29" s="393"/>
      <c r="I29" s="393"/>
      <c r="J29" s="393"/>
      <c r="K29" s="393"/>
    </row>
    <row r="30" spans="1:15">
      <c r="A30" s="313">
        <v>5</v>
      </c>
      <c r="B30" s="393"/>
      <c r="C30" s="393"/>
      <c r="D30" s="393"/>
      <c r="E30" s="393"/>
      <c r="F30" s="393"/>
      <c r="G30" s="393"/>
      <c r="H30" s="393"/>
      <c r="I30" s="393"/>
      <c r="J30" s="393"/>
      <c r="K30" s="393"/>
    </row>
    <row r="31" spans="1:15">
      <c r="A31" s="313">
        <v>10</v>
      </c>
      <c r="B31" s="393"/>
      <c r="C31" s="393"/>
      <c r="D31" s="393"/>
      <c r="E31" s="393"/>
      <c r="F31" s="393"/>
      <c r="G31" s="393"/>
      <c r="H31" s="393"/>
      <c r="I31" s="393"/>
      <c r="J31" s="393"/>
      <c r="K31" s="393"/>
    </row>
    <row r="32" spans="1:15">
      <c r="A32" s="313">
        <v>15</v>
      </c>
      <c r="B32" s="393"/>
      <c r="C32" s="393"/>
      <c r="D32" s="393"/>
      <c r="E32" s="393"/>
      <c r="F32" s="393"/>
      <c r="G32" s="393"/>
      <c r="H32" s="393"/>
      <c r="I32" s="393"/>
      <c r="J32" s="393"/>
      <c r="K32" s="393"/>
    </row>
    <row r="33" spans="1:11">
      <c r="A33" s="313">
        <v>20</v>
      </c>
      <c r="B33" s="393"/>
      <c r="C33" s="393"/>
      <c r="D33" s="393"/>
      <c r="E33" s="393"/>
      <c r="F33" s="393"/>
      <c r="G33" s="393"/>
      <c r="H33" s="393"/>
      <c r="I33" s="393"/>
      <c r="J33" s="393"/>
      <c r="K33" s="393"/>
    </row>
    <row r="34" spans="1:11">
      <c r="A34" s="313">
        <v>25</v>
      </c>
      <c r="B34" s="393"/>
      <c r="C34" s="393"/>
      <c r="D34" s="393"/>
      <c r="E34" s="393"/>
      <c r="F34" s="393"/>
      <c r="G34" s="393"/>
      <c r="H34" s="393"/>
      <c r="I34" s="393"/>
      <c r="J34" s="393"/>
      <c r="K34" s="393"/>
    </row>
    <row r="35" spans="1:11">
      <c r="A35" s="313">
        <v>30</v>
      </c>
      <c r="B35" s="393"/>
      <c r="C35" s="393"/>
      <c r="D35" s="393"/>
      <c r="E35" s="393"/>
      <c r="F35" s="393"/>
      <c r="G35" s="393"/>
      <c r="H35" s="393"/>
      <c r="I35" s="393"/>
      <c r="J35" s="393"/>
      <c r="K35" s="393"/>
    </row>
    <row r="36" spans="1:11">
      <c r="A36" s="313" t="s">
        <v>618</v>
      </c>
      <c r="B36" s="393"/>
      <c r="C36" s="393"/>
      <c r="D36" s="393"/>
      <c r="E36" s="393"/>
      <c r="F36" s="393"/>
      <c r="G36" s="393"/>
      <c r="H36" s="393"/>
      <c r="I36" s="393"/>
      <c r="J36" s="393"/>
      <c r="K36" s="393"/>
    </row>
    <row r="37" spans="1:11">
      <c r="A37" s="313">
        <v>0</v>
      </c>
      <c r="B37" s="393"/>
      <c r="C37" s="393"/>
      <c r="D37" s="393"/>
      <c r="E37" s="393"/>
      <c r="F37" s="393"/>
      <c r="G37" s="393"/>
      <c r="H37" s="393"/>
      <c r="I37" s="393"/>
      <c r="J37" s="393"/>
      <c r="K37" s="393"/>
    </row>
    <row r="38" spans="1:11">
      <c r="A38" s="313">
        <v>5</v>
      </c>
      <c r="B38" s="393"/>
      <c r="C38" s="393"/>
      <c r="D38" s="393"/>
      <c r="E38" s="393"/>
      <c r="F38" s="393"/>
      <c r="G38" s="393"/>
      <c r="H38" s="393"/>
      <c r="I38" s="393"/>
      <c r="J38" s="393"/>
      <c r="K38" s="393"/>
    </row>
    <row r="39" spans="1:11">
      <c r="A39" s="313">
        <v>10</v>
      </c>
      <c r="B39" s="393"/>
      <c r="C39" s="393"/>
      <c r="D39" s="393"/>
      <c r="E39" s="393"/>
      <c r="F39" s="393"/>
      <c r="G39" s="393"/>
      <c r="H39" s="393"/>
      <c r="I39" s="393"/>
      <c r="J39" s="393"/>
      <c r="K39" s="393"/>
    </row>
    <row r="40" spans="1:11">
      <c r="A40" s="313">
        <v>15</v>
      </c>
      <c r="B40" s="393"/>
      <c r="C40" s="393"/>
      <c r="D40" s="393"/>
      <c r="E40" s="393"/>
      <c r="F40" s="393"/>
      <c r="G40" s="393"/>
      <c r="H40" s="393"/>
      <c r="I40" s="393"/>
      <c r="J40" s="393"/>
      <c r="K40" s="393"/>
    </row>
    <row r="41" spans="1:11">
      <c r="A41" s="313">
        <v>20</v>
      </c>
      <c r="B41" s="393"/>
      <c r="C41" s="393"/>
      <c r="D41" s="393"/>
      <c r="E41" s="393"/>
      <c r="F41" s="393"/>
      <c r="G41" s="393"/>
      <c r="H41" s="393"/>
      <c r="I41" s="393"/>
      <c r="J41" s="393"/>
      <c r="K41" s="393"/>
    </row>
    <row r="42" spans="1:11">
      <c r="A42" s="313">
        <v>25</v>
      </c>
      <c r="B42" s="393"/>
      <c r="C42" s="393"/>
      <c r="D42" s="393"/>
      <c r="E42" s="393"/>
      <c r="F42" s="393"/>
      <c r="G42" s="393"/>
      <c r="H42" s="393"/>
      <c r="I42" s="393"/>
      <c r="J42" s="393"/>
      <c r="K42" s="393"/>
    </row>
    <row r="43" spans="1:11">
      <c r="A43" s="313">
        <v>30</v>
      </c>
      <c r="B43" s="393"/>
      <c r="C43" s="393"/>
      <c r="D43" s="393"/>
      <c r="E43" s="393"/>
      <c r="F43" s="393"/>
      <c r="G43" s="393"/>
      <c r="H43" s="393"/>
      <c r="I43" s="393"/>
      <c r="J43" s="393"/>
      <c r="K43" s="393"/>
    </row>
    <row r="44" spans="1:11">
      <c r="A44" s="313" t="s">
        <v>617</v>
      </c>
      <c r="B44" s="393"/>
      <c r="C44" s="393"/>
      <c r="D44" s="393"/>
      <c r="E44" s="393"/>
      <c r="F44" s="393"/>
      <c r="G44" s="393"/>
      <c r="H44" s="393"/>
      <c r="I44" s="393"/>
      <c r="J44" s="393"/>
      <c r="K44" s="393"/>
    </row>
    <row r="45" spans="1:11">
      <c r="A45" s="313">
        <v>0</v>
      </c>
      <c r="B45" s="393"/>
      <c r="C45" s="393"/>
      <c r="D45" s="393"/>
      <c r="E45" s="393"/>
      <c r="F45" s="393"/>
      <c r="G45" s="393"/>
      <c r="H45" s="393"/>
      <c r="I45" s="393"/>
      <c r="J45" s="393"/>
      <c r="K45" s="393"/>
    </row>
    <row r="46" spans="1:11">
      <c r="A46" s="313">
        <v>5</v>
      </c>
      <c r="B46" s="393"/>
      <c r="C46" s="393"/>
      <c r="D46" s="393"/>
      <c r="E46" s="393"/>
      <c r="F46" s="393"/>
      <c r="G46" s="393"/>
      <c r="H46" s="393"/>
      <c r="I46" s="393"/>
      <c r="J46" s="393"/>
      <c r="K46" s="393"/>
    </row>
    <row r="47" spans="1:11">
      <c r="A47" s="313">
        <v>10</v>
      </c>
      <c r="B47" s="393"/>
      <c r="C47" s="393"/>
      <c r="D47" s="393"/>
      <c r="E47" s="393"/>
      <c r="F47" s="393"/>
      <c r="G47" s="393"/>
      <c r="H47" s="393"/>
      <c r="I47" s="393"/>
      <c r="J47" s="393"/>
      <c r="K47" s="393"/>
    </row>
    <row r="48" spans="1:11">
      <c r="A48" s="313">
        <v>15</v>
      </c>
      <c r="B48" s="393"/>
      <c r="C48" s="393"/>
      <c r="D48" s="393"/>
      <c r="E48" s="393"/>
      <c r="F48" s="393"/>
      <c r="G48" s="393"/>
      <c r="H48" s="393"/>
      <c r="I48" s="393"/>
      <c r="J48" s="393"/>
      <c r="K48" s="393"/>
    </row>
    <row r="49" spans="1:11">
      <c r="A49" s="313">
        <v>20</v>
      </c>
      <c r="B49" s="393"/>
      <c r="C49" s="393"/>
      <c r="D49" s="393"/>
      <c r="E49" s="393"/>
      <c r="F49" s="393"/>
      <c r="G49" s="393"/>
      <c r="H49" s="393"/>
      <c r="I49" s="393"/>
      <c r="J49" s="393"/>
      <c r="K49" s="393"/>
    </row>
    <row r="50" spans="1:11">
      <c r="A50" s="313">
        <v>25</v>
      </c>
      <c r="B50" s="393"/>
      <c r="C50" s="393"/>
      <c r="D50" s="393"/>
      <c r="E50" s="393"/>
      <c r="F50" s="393"/>
      <c r="G50" s="393"/>
      <c r="H50" s="393"/>
      <c r="I50" s="393"/>
      <c r="J50" s="393"/>
      <c r="K50" s="393"/>
    </row>
    <row r="51" spans="1:11">
      <c r="A51" s="313">
        <v>30</v>
      </c>
      <c r="B51" s="393"/>
      <c r="C51" s="393"/>
      <c r="D51" s="393"/>
      <c r="E51" s="393"/>
      <c r="F51" s="393"/>
      <c r="G51" s="393"/>
      <c r="H51" s="393"/>
      <c r="I51" s="393"/>
      <c r="J51" s="393"/>
      <c r="K51" s="393"/>
    </row>
    <row r="52" spans="1:11">
      <c r="B52" s="393"/>
      <c r="C52" s="393"/>
      <c r="D52" s="393"/>
      <c r="E52" s="393"/>
      <c r="F52" s="393"/>
      <c r="G52" s="393"/>
      <c r="H52" s="393"/>
      <c r="I52" s="393"/>
      <c r="J52" s="393"/>
      <c r="K52" s="393"/>
    </row>
    <row r="53" spans="1:11">
      <c r="A53" s="312" t="s">
        <v>591</v>
      </c>
    </row>
    <row r="54" spans="1:11">
      <c r="A54" s="313" t="s">
        <v>586</v>
      </c>
      <c r="B54" s="314">
        <f>B5/(B$3*$N$24)</f>
        <v>5.9608326487816711E-4</v>
      </c>
      <c r="C54" s="314">
        <f t="shared" ref="C54:H54" si="1">C5/(C$3*$N$24)</f>
        <v>2.1742977754906143E-5</v>
      </c>
      <c r="D54" s="314">
        <f t="shared" si="1"/>
        <v>7.696088781144652E-5</v>
      </c>
      <c r="E54" s="314">
        <f t="shared" si="1"/>
        <v>3.2385608009917467E-5</v>
      </c>
      <c r="F54" s="314">
        <f t="shared" si="1"/>
        <v>2.1434800893124218E-5</v>
      </c>
      <c r="G54" s="314">
        <f t="shared" si="1"/>
        <v>5.3541138220409384E-6</v>
      </c>
      <c r="H54" s="314">
        <f t="shared" si="1"/>
        <v>1.644779855128683E-3</v>
      </c>
    </row>
    <row r="55" spans="1:11">
      <c r="A55" s="313">
        <v>0</v>
      </c>
    </row>
    <row r="56" spans="1:11">
      <c r="A56" s="313">
        <v>5</v>
      </c>
    </row>
    <row r="57" spans="1:11">
      <c r="A57" s="313">
        <v>10</v>
      </c>
    </row>
    <row r="58" spans="1:11">
      <c r="A58" s="313">
        <v>15</v>
      </c>
    </row>
    <row r="59" spans="1:11">
      <c r="A59" s="313">
        <v>20</v>
      </c>
    </row>
    <row r="60" spans="1:11">
      <c r="A60" s="313">
        <v>25</v>
      </c>
    </row>
    <row r="61" spans="1:11">
      <c r="A61" s="313">
        <v>30</v>
      </c>
    </row>
    <row r="62" spans="1:11">
      <c r="A62" s="313" t="s">
        <v>587</v>
      </c>
    </row>
    <row r="63" spans="1:11">
      <c r="A63" s="313">
        <v>0</v>
      </c>
      <c r="B63" s="314">
        <f>B13/(B$3*$N$24)</f>
        <v>8.5639529485219358E-4</v>
      </c>
      <c r="C63" s="314">
        <f t="shared" ref="C63:G63" si="2">C13/(C$3*$N$24)</f>
        <v>7.7457680288384049E-4</v>
      </c>
      <c r="D63" s="314">
        <f t="shared" si="2"/>
        <v>5.3720081578900259E-5</v>
      </c>
      <c r="E63" s="314">
        <f t="shared" si="2"/>
        <v>3.5693711078080687E-5</v>
      </c>
      <c r="F63" s="314">
        <f t="shared" si="2"/>
        <v>8.5059167228536022E-6</v>
      </c>
      <c r="G63" s="314">
        <f t="shared" si="2"/>
        <v>3.690723790584279E-5</v>
      </c>
      <c r="H63" s="314">
        <f>H13/(H$3*$N$24)</f>
        <v>7.8787218755553817E-4</v>
      </c>
    </row>
    <row r="64" spans="1:11">
      <c r="A64" s="313">
        <v>5</v>
      </c>
    </row>
    <row r="65" spans="1:8">
      <c r="A65" s="313">
        <v>10</v>
      </c>
    </row>
    <row r="66" spans="1:8">
      <c r="A66" s="313">
        <v>15</v>
      </c>
    </row>
    <row r="67" spans="1:8">
      <c r="A67" s="313">
        <v>20</v>
      </c>
    </row>
    <row r="68" spans="1:8">
      <c r="A68" s="313">
        <v>25</v>
      </c>
    </row>
    <row r="69" spans="1:8">
      <c r="A69" s="313">
        <v>30</v>
      </c>
    </row>
    <row r="70" spans="1:8">
      <c r="A70" s="313" t="s">
        <v>588</v>
      </c>
    </row>
    <row r="71" spans="1:8">
      <c r="A71" s="313">
        <v>0</v>
      </c>
      <c r="B71" s="314">
        <f>B21/(B$3*$N$24)</f>
        <v>0.12567454305338407</v>
      </c>
      <c r="C71" s="314">
        <f t="shared" ref="C71:H71" si="3">C21/(C$3*$N$24)</f>
        <v>0.12007438294015456</v>
      </c>
      <c r="D71" s="314">
        <f t="shared" si="3"/>
        <v>0.11271263043998611</v>
      </c>
      <c r="E71" s="314">
        <f t="shared" si="3"/>
        <v>0.11108879963246278</v>
      </c>
      <c r="F71" s="314">
        <f t="shared" si="3"/>
        <v>0.11239095157895279</v>
      </c>
      <c r="G71" s="314">
        <f t="shared" si="3"/>
        <v>0.19203803421271132</v>
      </c>
      <c r="H71" s="314">
        <f t="shared" si="3"/>
        <v>0.2597972914279259</v>
      </c>
    </row>
    <row r="72" spans="1:8">
      <c r="A72" s="313">
        <v>5</v>
      </c>
    </row>
    <row r="73" spans="1:8">
      <c r="A73" s="313">
        <v>10</v>
      </c>
    </row>
    <row r="74" spans="1:8">
      <c r="A74" s="313">
        <v>15</v>
      </c>
    </row>
    <row r="75" spans="1:8">
      <c r="A75" s="313">
        <v>20</v>
      </c>
    </row>
    <row r="76" spans="1:8">
      <c r="A76" s="313">
        <v>25</v>
      </c>
    </row>
    <row r="77" spans="1:8">
      <c r="A77" s="313">
        <v>30</v>
      </c>
    </row>
    <row r="78" spans="1:8">
      <c r="A78" s="313" t="s">
        <v>619</v>
      </c>
    </row>
    <row r="79" spans="1:8">
      <c r="A79" s="313">
        <v>0</v>
      </c>
    </row>
    <row r="80" spans="1:8">
      <c r="A80" s="313">
        <v>5</v>
      </c>
      <c r="B80" s="394">
        <v>3.9376972E-7</v>
      </c>
      <c r="C80" s="394">
        <v>1.0719754999999999E-6</v>
      </c>
      <c r="D80" s="394">
        <v>3.4923999999999998E-6</v>
      </c>
      <c r="E80" s="394">
        <v>6.2106154000000003E-6</v>
      </c>
      <c r="F80" s="394">
        <v>1.0547894E-5</v>
      </c>
      <c r="G80" s="394">
        <v>3.5391137000000002E-5</v>
      </c>
      <c r="H80" s="394">
        <v>-4.6915793999999999E-5</v>
      </c>
    </row>
    <row r="81" spans="1:8">
      <c r="A81" s="313">
        <v>10</v>
      </c>
    </row>
    <row r="82" spans="1:8">
      <c r="A82" s="313">
        <v>15</v>
      </c>
    </row>
    <row r="83" spans="1:8">
      <c r="A83" s="313">
        <v>20</v>
      </c>
    </row>
    <row r="84" spans="1:8">
      <c r="A84" s="313">
        <v>25</v>
      </c>
    </row>
    <row r="85" spans="1:8">
      <c r="A85" s="313">
        <v>30</v>
      </c>
    </row>
    <row r="86" spans="1:8">
      <c r="A86" s="313" t="s">
        <v>618</v>
      </c>
    </row>
    <row r="87" spans="1:8">
      <c r="A87" s="313">
        <v>0</v>
      </c>
      <c r="B87" s="314">
        <v>-8.4067850000000004E-4</v>
      </c>
      <c r="C87" s="394">
        <v>-9.9430001999999994E-6</v>
      </c>
      <c r="D87" s="314">
        <v>-2.8579856000000002E-3</v>
      </c>
      <c r="E87" s="314">
        <v>-2.7765043000000001E-3</v>
      </c>
      <c r="F87" s="314">
        <v>-3.5801428E-3</v>
      </c>
      <c r="G87" s="314">
        <v>-1.2667222000000001E-2</v>
      </c>
      <c r="H87" s="314">
        <v>1.9839978</v>
      </c>
    </row>
    <row r="88" spans="1:8">
      <c r="A88" s="313">
        <v>5</v>
      </c>
    </row>
    <row r="89" spans="1:8">
      <c r="A89" s="313">
        <v>10</v>
      </c>
    </row>
    <row r="90" spans="1:8">
      <c r="A90" s="313">
        <v>15</v>
      </c>
    </row>
    <row r="91" spans="1:8">
      <c r="A91" s="313">
        <v>20</v>
      </c>
    </row>
    <row r="92" spans="1:8">
      <c r="A92" s="313">
        <v>25</v>
      </c>
    </row>
    <row r="93" spans="1:8">
      <c r="A93" s="313">
        <v>30</v>
      </c>
    </row>
    <row r="94" spans="1:8">
      <c r="A94" s="313" t="s">
        <v>617</v>
      </c>
    </row>
    <row r="95" spans="1:8">
      <c r="A95" s="313">
        <v>0</v>
      </c>
      <c r="B95">
        <v>-1.254186E-3</v>
      </c>
      <c r="C95">
        <v>-3.3242160000000001E-3</v>
      </c>
      <c r="D95">
        <v>-2.7258663000000001E-3</v>
      </c>
      <c r="E95">
        <v>-5.7863556000000002E-3</v>
      </c>
      <c r="F95">
        <v>-6.2785508000000002E-3</v>
      </c>
      <c r="G95">
        <v>2.9580740000000001E-2</v>
      </c>
      <c r="H95">
        <v>-1.2803529</v>
      </c>
    </row>
    <row r="96" spans="1:8">
      <c r="A96" s="313">
        <v>5</v>
      </c>
    </row>
    <row r="97" spans="1:1">
      <c r="A97" s="313">
        <v>10</v>
      </c>
    </row>
    <row r="98" spans="1:1">
      <c r="A98" s="313">
        <v>15</v>
      </c>
    </row>
    <row r="99" spans="1:1">
      <c r="A99" s="313">
        <v>20</v>
      </c>
    </row>
    <row r="100" spans="1:1">
      <c r="A100" s="313">
        <v>25</v>
      </c>
    </row>
    <row r="101" spans="1:1">
      <c r="A101" s="313">
        <v>30</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2:G92"/>
  <sheetViews>
    <sheetView topLeftCell="A2" zoomScale="75" workbookViewId="0">
      <selection activeCell="G87" sqref="G87"/>
    </sheetView>
  </sheetViews>
  <sheetFormatPr defaultColWidth="9.08984375" defaultRowHeight="14.5"/>
  <cols>
    <col min="1" max="1" width="13" customWidth="1"/>
    <col min="2" max="2" width="11.08984375" customWidth="1"/>
  </cols>
  <sheetData>
    <row r="2" spans="1:5" ht="29">
      <c r="A2" s="219" t="s">
        <v>394</v>
      </c>
    </row>
    <row r="4" spans="1:5">
      <c r="A4" s="218" t="s">
        <v>395</v>
      </c>
    </row>
    <row r="5" spans="1:5">
      <c r="B5" s="380"/>
      <c r="C5" s="380"/>
      <c r="D5" s="380"/>
      <c r="E5" s="380"/>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29">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F67"/>
  <sheetViews>
    <sheetView topLeftCell="A49" zoomScale="66" zoomScaleNormal="85" workbookViewId="0">
      <selection activeCell="E62" sqref="E62"/>
    </sheetView>
  </sheetViews>
  <sheetFormatPr defaultColWidth="8.90625" defaultRowHeight="14.5"/>
  <cols>
    <col min="1" max="1" width="2.36328125" style="13" customWidth="1"/>
    <col min="2" max="2" width="15" style="1" customWidth="1"/>
    <col min="3" max="3" width="10.08984375" style="1" customWidth="1"/>
    <col min="4" max="4" width="8.90625" style="1" customWidth="1"/>
    <col min="5" max="5" width="14.08984375" style="13" bestFit="1" customWidth="1"/>
    <col min="6" max="6" width="9.26953125" style="13" customWidth="1"/>
    <col min="7" max="7" width="5.6328125" style="13" bestFit="1" customWidth="1"/>
    <col min="8" max="8" width="1.6328125" style="63" customWidth="1"/>
    <col min="9" max="9" width="3.7265625" style="13" customWidth="1"/>
    <col min="10" max="10" width="18.26953125" style="13" bestFit="1" customWidth="1"/>
    <col min="11" max="11" width="28.36328125" style="13" bestFit="1" customWidth="1"/>
    <col min="12" max="12" width="26.08984375" style="13" bestFit="1" customWidth="1"/>
    <col min="13" max="13" width="21.26953125" style="13" customWidth="1"/>
    <col min="14" max="14" width="10.26953125" style="13" customWidth="1"/>
    <col min="15" max="15" width="16.6328125" style="13" customWidth="1"/>
    <col min="16" max="16" width="17" style="13" bestFit="1" customWidth="1"/>
    <col min="17" max="17" width="10.36328125" style="13" customWidth="1"/>
    <col min="18" max="18" width="14.26953125" style="13" customWidth="1"/>
    <col min="19" max="20" width="8.7265625" style="13" bestFit="1" customWidth="1"/>
    <col min="21" max="21" width="13" style="13" bestFit="1" customWidth="1"/>
    <col min="22" max="23" width="15.7265625" style="13" bestFit="1" customWidth="1"/>
    <col min="24" max="24" width="16.26953125" style="13" bestFit="1" customWidth="1"/>
    <col min="25" max="25" width="17.6328125" style="13" bestFit="1" customWidth="1"/>
    <col min="26" max="26" width="16.26953125" style="13" bestFit="1" customWidth="1"/>
    <col min="27" max="27" width="15" style="13" bestFit="1" customWidth="1"/>
    <col min="28" max="16384" width="8.90625" style="13"/>
  </cols>
  <sheetData>
    <row r="1" spans="1:27" ht="15" thickBot="1"/>
    <row r="2" spans="1:27" ht="15" thickBot="1">
      <c r="A2" s="20"/>
      <c r="B2" s="381" t="s">
        <v>419</v>
      </c>
      <c r="C2" s="382"/>
      <c r="D2" s="382"/>
      <c r="E2" s="382"/>
      <c r="F2" s="383"/>
      <c r="G2" s="20"/>
    </row>
    <row r="3" spans="1:27" ht="14.5" customHeight="1" thickBot="1">
      <c r="A3" s="20"/>
      <c r="B3" s="388" t="s">
        <v>420</v>
      </c>
      <c r="C3" s="392"/>
      <c r="D3" s="392"/>
      <c r="E3" s="390"/>
      <c r="F3" s="391"/>
      <c r="G3" s="20"/>
      <c r="J3" s="127" t="s">
        <v>421</v>
      </c>
      <c r="K3" t="s">
        <v>422</v>
      </c>
      <c r="L3" t="s">
        <v>423</v>
      </c>
      <c r="M3"/>
      <c r="N3"/>
      <c r="O3"/>
      <c r="P3"/>
      <c r="Q3"/>
      <c r="R3"/>
      <c r="S3"/>
      <c r="T3"/>
      <c r="U3"/>
      <c r="V3"/>
      <c r="W3"/>
      <c r="X3"/>
      <c r="Y3"/>
      <c r="Z3"/>
      <c r="AA3"/>
    </row>
    <row r="4" spans="1:27">
      <c r="A4" s="20"/>
      <c r="B4" s="84" t="s">
        <v>424</v>
      </c>
      <c r="C4" s="27">
        <v>100</v>
      </c>
      <c r="D4" s="387" t="s">
        <v>116</v>
      </c>
      <c r="E4" s="27">
        <f>C4*(3600/1000)</f>
        <v>360</v>
      </c>
      <c r="F4" s="387" t="s">
        <v>425</v>
      </c>
      <c r="G4" s="20"/>
      <c r="J4" s="128">
        <v>3.5714285714285713E-3</v>
      </c>
      <c r="K4" s="126">
        <v>0</v>
      </c>
      <c r="L4" s="126">
        <v>0</v>
      </c>
      <c r="M4"/>
      <c r="N4"/>
      <c r="O4"/>
      <c r="P4"/>
      <c r="Q4"/>
      <c r="R4"/>
      <c r="S4"/>
      <c r="T4"/>
      <c r="U4"/>
      <c r="V4"/>
      <c r="W4"/>
      <c r="X4"/>
      <c r="Y4"/>
      <c r="Z4"/>
      <c r="AA4"/>
    </row>
    <row r="5" spans="1:27">
      <c r="A5" s="20"/>
      <c r="B5" s="85" t="s">
        <v>426</v>
      </c>
      <c r="C5" s="20">
        <v>10</v>
      </c>
      <c r="D5" s="385"/>
      <c r="E5" s="20">
        <f>C5*(3600/1000)</f>
        <v>36</v>
      </c>
      <c r="F5" s="385"/>
      <c r="G5" s="20"/>
      <c r="J5" s="128">
        <v>1.0714285714285714E-2</v>
      </c>
      <c r="K5" s="126">
        <v>0</v>
      </c>
      <c r="L5" s="126">
        <v>0</v>
      </c>
      <c r="M5"/>
      <c r="N5"/>
      <c r="O5"/>
      <c r="P5"/>
      <c r="Q5"/>
      <c r="R5"/>
      <c r="S5"/>
      <c r="T5"/>
      <c r="U5"/>
      <c r="V5"/>
      <c r="W5"/>
      <c r="X5"/>
      <c r="Y5"/>
      <c r="Z5"/>
      <c r="AA5"/>
    </row>
    <row r="6" spans="1:27" ht="15" thickBot="1">
      <c r="A6" s="20"/>
      <c r="B6" s="86" t="s">
        <v>427</v>
      </c>
      <c r="C6" s="24">
        <v>4</v>
      </c>
      <c r="D6" s="386"/>
      <c r="E6" s="24">
        <f>C6*(3600/1000)</f>
        <v>14.4</v>
      </c>
      <c r="F6" s="386"/>
      <c r="G6" s="20"/>
      <c r="J6" s="128">
        <v>1.7857142857142856E-2</v>
      </c>
      <c r="K6" s="126">
        <v>0</v>
      </c>
      <c r="L6" s="126">
        <v>0</v>
      </c>
      <c r="M6"/>
    </row>
    <row r="7" spans="1:27" ht="15" thickBot="1">
      <c r="A7" s="20"/>
      <c r="B7" s="388" t="s">
        <v>428</v>
      </c>
      <c r="C7" s="389"/>
      <c r="D7" s="389"/>
      <c r="E7" s="390"/>
      <c r="F7" s="391"/>
      <c r="G7" s="20"/>
      <c r="J7" s="128">
        <v>2.4999999999999998E-2</v>
      </c>
      <c r="K7" s="126">
        <v>0</v>
      </c>
      <c r="L7" s="126">
        <v>0</v>
      </c>
      <c r="M7"/>
    </row>
    <row r="8" spans="1:27">
      <c r="A8" s="20"/>
      <c r="B8" s="84" t="s">
        <v>429</v>
      </c>
      <c r="C8" s="27"/>
      <c r="D8" s="387" t="s">
        <v>430</v>
      </c>
      <c r="E8" s="27"/>
      <c r="F8" s="387" t="s">
        <v>201</v>
      </c>
      <c r="G8" s="20"/>
      <c r="J8" s="128">
        <v>3.214285714285714E-2</v>
      </c>
      <c r="K8" s="126">
        <v>0</v>
      </c>
      <c r="L8" s="126">
        <v>0</v>
      </c>
      <c r="M8"/>
    </row>
    <row r="9" spans="1:27">
      <c r="A9" s="20"/>
      <c r="B9" s="85" t="s">
        <v>431</v>
      </c>
      <c r="C9" s="20"/>
      <c r="D9" s="385"/>
      <c r="E9" s="20"/>
      <c r="F9" s="385"/>
      <c r="G9" s="20"/>
      <c r="J9" s="128">
        <v>3.9285714285714285E-2</v>
      </c>
      <c r="K9" s="126">
        <v>0</v>
      </c>
      <c r="L9" s="126">
        <v>0</v>
      </c>
      <c r="M9"/>
    </row>
    <row r="10" spans="1:27" ht="15" thickBot="1">
      <c r="A10" s="20"/>
      <c r="B10" s="85" t="s">
        <v>432</v>
      </c>
      <c r="C10" s="24"/>
      <c r="D10" s="386"/>
      <c r="E10" s="24"/>
      <c r="F10" s="385"/>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85"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86"/>
      <c r="G18" s="20"/>
      <c r="J18" s="128">
        <v>0.10357142857142859</v>
      </c>
      <c r="K18" s="126">
        <v>0.69655576171280786</v>
      </c>
      <c r="L18" s="126">
        <v>0.88779942957130065</v>
      </c>
      <c r="M18"/>
    </row>
    <row r="19" spans="1:13">
      <c r="A19" s="20"/>
      <c r="B19" s="84" t="s">
        <v>444</v>
      </c>
      <c r="C19" s="27"/>
      <c r="D19" s="387"/>
      <c r="E19" s="27"/>
      <c r="F19" s="387" t="s">
        <v>442</v>
      </c>
      <c r="G19" s="20"/>
      <c r="J19" s="128">
        <v>0.11071428571428574</v>
      </c>
      <c r="K19" s="126">
        <v>0.65675257532921893</v>
      </c>
      <c r="L19" s="126">
        <v>0.83706803359579784</v>
      </c>
      <c r="M19"/>
    </row>
    <row r="20" spans="1:13">
      <c r="A20" s="20"/>
      <c r="B20" s="85" t="s">
        <v>445</v>
      </c>
      <c r="C20" s="20"/>
      <c r="D20" s="385"/>
      <c r="E20" s="20"/>
      <c r="F20" s="385"/>
      <c r="G20" s="20"/>
      <c r="J20" s="128">
        <v>0.11785714285714288</v>
      </c>
      <c r="K20" s="126">
        <v>0.61694938894562978</v>
      </c>
      <c r="L20" s="126">
        <v>0.78633663762029482</v>
      </c>
      <c r="M20"/>
    </row>
    <row r="21" spans="1:13" ht="15" thickBot="1">
      <c r="A21" s="20"/>
      <c r="B21" s="86" t="s">
        <v>446</v>
      </c>
      <c r="C21" s="24"/>
      <c r="D21" s="386"/>
      <c r="E21" s="24"/>
      <c r="F21" s="386"/>
      <c r="G21" s="20"/>
      <c r="J21" s="128">
        <v>0.12500000000000003</v>
      </c>
      <c r="K21" s="126">
        <v>0.57714620256204074</v>
      </c>
      <c r="L21" s="126">
        <v>0.73560524164479191</v>
      </c>
      <c r="M21"/>
    </row>
    <row r="22" spans="1:13">
      <c r="A22" s="20"/>
      <c r="B22" s="84" t="s">
        <v>447</v>
      </c>
      <c r="C22" s="27"/>
      <c r="D22" s="387"/>
      <c r="E22" s="27"/>
      <c r="F22" s="387" t="s">
        <v>448</v>
      </c>
      <c r="G22" s="20"/>
      <c r="J22" s="128">
        <v>0.13214285714285717</v>
      </c>
      <c r="K22" s="126">
        <v>0.53734301617845182</v>
      </c>
      <c r="L22" s="126">
        <v>0.68487384566928911</v>
      </c>
      <c r="M22"/>
    </row>
    <row r="23" spans="1:13">
      <c r="A23" s="20"/>
      <c r="B23" s="85" t="s">
        <v>449</v>
      </c>
      <c r="C23" s="20"/>
      <c r="D23" s="385"/>
      <c r="E23" s="20"/>
      <c r="F23" s="385"/>
      <c r="G23" s="20"/>
      <c r="J23" s="128">
        <v>0.13928571428571432</v>
      </c>
      <c r="K23" s="126">
        <v>0.49753982979486266</v>
      </c>
      <c r="L23" s="126">
        <v>0.63414244969378608</v>
      </c>
      <c r="M23"/>
    </row>
    <row r="24" spans="1:13" ht="15" thickBot="1">
      <c r="A24" s="20"/>
      <c r="B24" s="86" t="s">
        <v>450</v>
      </c>
      <c r="C24" s="24"/>
      <c r="D24" s="386"/>
      <c r="E24" s="24"/>
      <c r="F24" s="386"/>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5" customHeight="1">
      <c r="B41" s="108"/>
      <c r="C41" s="108"/>
      <c r="D41" s="108"/>
    </row>
    <row r="42" spans="1:32">
      <c r="P42" s="123">
        <f>((E51/M45)/2.5)*0.4</f>
        <v>2.7096774193548392E-3</v>
      </c>
    </row>
    <row r="43" spans="1:32">
      <c r="B43" s="384" t="s">
        <v>452</v>
      </c>
      <c r="C43" s="384"/>
      <c r="D43" s="384"/>
      <c r="E43" s="384"/>
      <c r="F43" s="384"/>
    </row>
    <row r="44" spans="1:32" s="1" customFormat="1" ht="58.15" customHeight="1">
      <c r="B44" s="345" t="s">
        <v>453</v>
      </c>
      <c r="C44" s="345"/>
      <c r="D44" s="345"/>
      <c r="E44" s="345"/>
      <c r="F44" s="345"/>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9">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9">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9">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3"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AE15861E-CBEF-4CC0-85FE-9F52CCE55DFF}">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LEONARDO VALADEZ ORTIZ</cp:lastModifiedBy>
  <cp:revision/>
  <dcterms:created xsi:type="dcterms:W3CDTF">2024-07-02T19:27:32Z</dcterms:created>
  <dcterms:modified xsi:type="dcterms:W3CDTF">2025-07-17T12:37:12Z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